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Jeff/Desktop/"/>
    </mc:Choice>
  </mc:AlternateContent>
  <xr:revisionPtr revIDLastSave="0" documentId="13_ncr:1_{67166328-516C-DB4C-8E4B-9B79FEED56FF}" xr6:coauthVersionLast="47" xr6:coauthVersionMax="47" xr10:uidLastSave="{00000000-0000-0000-0000-000000000000}"/>
  <bookViews>
    <workbookView xWindow="0" yWindow="500" windowWidth="25740" windowHeight="14900" activeTab="1" xr2:uid="{F368F12C-B156-4F1C-9EB1-5354DCCE2B31}"/>
  </bookViews>
  <sheets>
    <sheet name="Business Scenario" sheetId="2" r:id="rId1"/>
    <sheet name="Task 3 Template" sheetId="1" r:id="rId2"/>
  </sheets>
  <definedNames>
    <definedName name="ABAfterTaxDebtCost">'Task 3 Template'!$W$22</definedName>
    <definedName name="ABDebtPct">'Task 3 Template'!$W$11</definedName>
    <definedName name="ABEquityPct">'Task 3 Template'!$W$12</definedName>
    <definedName name="ABondTotal">'Task 3 Template'!$K$11</definedName>
    <definedName name="ACashFlow">'Task 3 Template'!$O$9</definedName>
    <definedName name="AfterTaxDebtCost">'Task 3 Template'!$W$22</definedName>
    <definedName name="AStockTotal">'Task 3 Template'!$M$11</definedName>
    <definedName name="ATotalInvestment">'Task 3 Template'!$J$11</definedName>
    <definedName name="BBondTotal">'Task 3 Template'!$Q$11</definedName>
    <definedName name="BCashFlow1">'Task 3 Template'!$U$9</definedName>
    <definedName name="BCashFlow2">'Task 3 Template'!$U$10</definedName>
    <definedName name="BondParRate">'Task 3 Template'!$W$17</definedName>
    <definedName name="BondRate">'Task 3 Template'!$W$20</definedName>
    <definedName name="BondRatio">'Task 3 Template'!$W$21</definedName>
    <definedName name="BondTotal">'Task 3 Template'!$K$11</definedName>
    <definedName name="BStockTotal">'Task 3 Template'!$S$11</definedName>
    <definedName name="BTotalInvestment">'Task 3 Template'!$P$11</definedName>
    <definedName name="CCashFlow">'Task 3 Template'!$O$34</definedName>
    <definedName name="CDWACC">'Task 3 Template'!$W$37</definedName>
    <definedName name="CreditInterest">'Task 3 Template'!$W$32</definedName>
    <definedName name="DCashFlow">'Task 3 Template'!$U$34</definedName>
    <definedName name="InvestmentACost">'Task 3 Template'!$D$9</definedName>
    <definedName name="InvestmentAInterest">'Task 3 Template'!$L$11</definedName>
    <definedName name="InvestmentBCost">'Task 3 Template'!$E$9</definedName>
    <definedName name="InvestmentBInterest">'Task 3 Template'!$R$11</definedName>
    <definedName name="InvestmentCCost">'Task 3 Template'!$F$9</definedName>
    <definedName name="InvestmentCInterest">'Task 3 Template'!$L$34</definedName>
    <definedName name="InvestmentDCost">'Task 3 Template'!$G$9</definedName>
    <definedName name="InvestmentDInterest">'Task 3 Template'!$R$34</definedName>
    <definedName name="LineOfCreditAfterTaxCost">'Task 3 Template'!$W$33</definedName>
    <definedName name="RequiredReturn">'Task 3 Template'!$W$9</definedName>
    <definedName name="StockParRate">'Task 3 Template'!$W$26</definedName>
    <definedName name="StockRatio">'Task 3 Template'!$W$29</definedName>
    <definedName name="TaxRate">'Task 3 Template'!$W$8</definedName>
    <definedName name="WACC">'Task 3 Template'!$W$13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1" i="1" l="1"/>
  <c r="T26" i="1"/>
  <c r="R26" i="1"/>
  <c r="P26" i="1"/>
  <c r="U10" i="1"/>
  <c r="O9" i="1"/>
  <c r="J15" i="1" s="1"/>
  <c r="Q61" i="1"/>
  <c r="O61" i="1"/>
  <c r="J61" i="1" s="1"/>
  <c r="Q34" i="1"/>
  <c r="M61" i="1"/>
  <c r="T61" i="1" s="1"/>
  <c r="S34" i="1"/>
  <c r="R34" i="1"/>
  <c r="P49" i="1" s="1"/>
  <c r="O34" i="1"/>
  <c r="J59" i="1"/>
  <c r="J58" i="1"/>
  <c r="U61" i="1"/>
  <c r="U60" i="1"/>
  <c r="U58" i="1"/>
  <c r="T60" i="1"/>
  <c r="T58" i="1"/>
  <c r="R61" i="1"/>
  <c r="R60" i="1"/>
  <c r="R59" i="1"/>
  <c r="R58" i="1"/>
  <c r="Q60" i="1"/>
  <c r="P60" i="1"/>
  <c r="P59" i="1"/>
  <c r="P58" i="1"/>
  <c r="O60" i="1"/>
  <c r="J60" i="1" s="1"/>
  <c r="W22" i="1"/>
  <c r="W33" i="1"/>
  <c r="M59" i="1"/>
  <c r="T59" i="1" s="1"/>
  <c r="M58" i="1"/>
  <c r="N59" i="1"/>
  <c r="U59" i="1" s="1"/>
  <c r="N58" i="1"/>
  <c r="U34" i="1"/>
  <c r="P34" i="1"/>
  <c r="L34" i="1"/>
  <c r="K34" i="1"/>
  <c r="N37" i="1"/>
  <c r="L37" i="1"/>
  <c r="J37" i="1"/>
  <c r="I38" i="1"/>
  <c r="J34" i="1"/>
  <c r="W19" i="1"/>
  <c r="S9" i="1"/>
  <c r="S11" i="1" s="1"/>
  <c r="Q9" i="1"/>
  <c r="Q11" i="1" s="1"/>
  <c r="Q59" i="1" s="1"/>
  <c r="P9" i="1"/>
  <c r="J9" i="1"/>
  <c r="U9" i="1"/>
  <c r="W12" i="1"/>
  <c r="W11" i="1"/>
  <c r="M9" i="1"/>
  <c r="M11" i="1" s="1"/>
  <c r="L9" i="1" s="1"/>
  <c r="I15" i="1"/>
  <c r="I16" i="1" s="1"/>
  <c r="P16" i="1" s="1"/>
  <c r="W28" i="1"/>
  <c r="G20" i="1"/>
  <c r="F20" i="1"/>
  <c r="E20" i="1"/>
  <c r="D20" i="1"/>
  <c r="R37" i="1" l="1"/>
  <c r="W35" i="1"/>
  <c r="W36" i="1"/>
  <c r="W37" i="1" s="1"/>
  <c r="T37" i="1"/>
  <c r="U37" i="1" s="1"/>
  <c r="P37" i="1"/>
  <c r="S37" i="1"/>
  <c r="R11" i="1"/>
  <c r="R15" i="1" s="1"/>
  <c r="R43" i="1"/>
  <c r="W53" i="1"/>
  <c r="W54" i="1" s="1"/>
  <c r="W55" i="1" s="1"/>
  <c r="W56" i="1"/>
  <c r="W57" i="1" s="1"/>
  <c r="W58" i="1"/>
  <c r="W59" i="1" s="1"/>
  <c r="J49" i="1"/>
  <c r="W13" i="1"/>
  <c r="P15" i="1"/>
  <c r="R44" i="1"/>
  <c r="J38" i="1"/>
  <c r="R45" i="1"/>
  <c r="R46" i="1"/>
  <c r="R47" i="1"/>
  <c r="P39" i="1"/>
  <c r="P40" i="1"/>
  <c r="P42" i="1"/>
  <c r="P43" i="1"/>
  <c r="P44" i="1"/>
  <c r="P38" i="1"/>
  <c r="T38" i="1"/>
  <c r="T39" i="1"/>
  <c r="P41" i="1"/>
  <c r="T40" i="1"/>
  <c r="T41" i="1"/>
  <c r="T42" i="1"/>
  <c r="T43" i="1"/>
  <c r="P45" i="1"/>
  <c r="P46" i="1"/>
  <c r="I39" i="1"/>
  <c r="P47" i="1"/>
  <c r="L38" i="1"/>
  <c r="R39" i="1"/>
  <c r="T45" i="1"/>
  <c r="R40" i="1"/>
  <c r="R41" i="1"/>
  <c r="T16" i="1"/>
  <c r="R42" i="1"/>
  <c r="R38" i="1"/>
  <c r="T44" i="1"/>
  <c r="N38" i="1"/>
  <c r="T46" i="1"/>
  <c r="T15" i="1"/>
  <c r="T47" i="1"/>
  <c r="K37" i="1"/>
  <c r="J16" i="1"/>
  <c r="J17" i="1"/>
  <c r="J22" i="1"/>
  <c r="J23" i="1"/>
  <c r="J24" i="1"/>
  <c r="P11" i="1"/>
  <c r="J21" i="1"/>
  <c r="J18" i="1"/>
  <c r="J19" i="1"/>
  <c r="J20" i="1"/>
  <c r="K9" i="1"/>
  <c r="K11" i="1" s="1"/>
  <c r="R9" i="1"/>
  <c r="I17" i="1"/>
  <c r="P17" i="1" s="1"/>
  <c r="R16" i="1" l="1"/>
  <c r="S51" i="1"/>
  <c r="R51" i="1"/>
  <c r="U51" i="1"/>
  <c r="U52" i="1" s="1"/>
  <c r="T51" i="1"/>
  <c r="T52" i="1" s="1"/>
  <c r="Q37" i="1"/>
  <c r="Q38" i="1" s="1"/>
  <c r="Q39" i="1" s="1"/>
  <c r="Q40" i="1" s="1"/>
  <c r="Q41" i="1" s="1"/>
  <c r="Q42" i="1" s="1"/>
  <c r="Q43" i="1" s="1"/>
  <c r="Q44" i="1" s="1"/>
  <c r="Q45" i="1" s="1"/>
  <c r="Q46" i="1" s="1"/>
  <c r="Q47" i="1" s="1"/>
  <c r="P51" i="1"/>
  <c r="P52" i="1" s="1"/>
  <c r="Q51" i="1"/>
  <c r="T49" i="1"/>
  <c r="R49" i="1"/>
  <c r="W60" i="1"/>
  <c r="W61" i="1"/>
  <c r="K38" i="1"/>
  <c r="R17" i="1"/>
  <c r="T17" i="1"/>
  <c r="P53" i="1"/>
  <c r="I40" i="1"/>
  <c r="J39" i="1"/>
  <c r="L39" i="1"/>
  <c r="L11" i="1"/>
  <c r="N23" i="1" s="1"/>
  <c r="Q58" i="1"/>
  <c r="L61" i="1"/>
  <c r="R53" i="1"/>
  <c r="N39" i="1"/>
  <c r="P48" i="1"/>
  <c r="Q49" i="1"/>
  <c r="Q53" i="1"/>
  <c r="T53" i="1"/>
  <c r="U49" i="1"/>
  <c r="S53" i="1"/>
  <c r="T48" i="1"/>
  <c r="U53" i="1"/>
  <c r="U38" i="1"/>
  <c r="U39" i="1" s="1"/>
  <c r="U40" i="1" s="1"/>
  <c r="U41" i="1" s="1"/>
  <c r="U42" i="1" s="1"/>
  <c r="U43" i="1" s="1"/>
  <c r="U44" i="1" s="1"/>
  <c r="U45" i="1" s="1"/>
  <c r="U46" i="1" s="1"/>
  <c r="U47" i="1" s="1"/>
  <c r="J11" i="1"/>
  <c r="K28" i="1" s="1"/>
  <c r="T14" i="1"/>
  <c r="R14" i="1"/>
  <c r="P14" i="1"/>
  <c r="I18" i="1"/>
  <c r="Q52" i="1" l="1"/>
  <c r="N18" i="1"/>
  <c r="N16" i="1"/>
  <c r="P18" i="1"/>
  <c r="R18" i="1"/>
  <c r="T18" i="1"/>
  <c r="N15" i="1"/>
  <c r="K29" i="1"/>
  <c r="L17" i="1"/>
  <c r="L21" i="1"/>
  <c r="L15" i="1"/>
  <c r="L22" i="1"/>
  <c r="N21" i="1"/>
  <c r="L23" i="1"/>
  <c r="L24" i="1"/>
  <c r="N17" i="1"/>
  <c r="J26" i="1"/>
  <c r="N19" i="1"/>
  <c r="N20" i="1"/>
  <c r="N24" i="1"/>
  <c r="I41" i="1"/>
  <c r="L40" i="1"/>
  <c r="J40" i="1"/>
  <c r="N40" i="1"/>
  <c r="L18" i="1"/>
  <c r="L16" i="1"/>
  <c r="L19" i="1"/>
  <c r="K39" i="1"/>
  <c r="K48" i="1" s="1" a="1"/>
  <c r="K48" i="1" s="1"/>
  <c r="L20" i="1"/>
  <c r="N22" i="1"/>
  <c r="J14" i="1"/>
  <c r="J29" i="1"/>
  <c r="L58" i="1"/>
  <c r="J28" i="1"/>
  <c r="U48" i="1" a="1"/>
  <c r="U48" i="1" s="1"/>
  <c r="Q14" i="1"/>
  <c r="Q15" i="1" s="1"/>
  <c r="Q16" i="1" s="1"/>
  <c r="Q17" i="1" s="1"/>
  <c r="S14" i="1"/>
  <c r="S15" i="1" s="1"/>
  <c r="S16" i="1" s="1"/>
  <c r="S17" i="1" s="1"/>
  <c r="U14" i="1"/>
  <c r="U15" i="1" s="1"/>
  <c r="U16" i="1" s="1"/>
  <c r="U17" i="1" s="1"/>
  <c r="N14" i="1"/>
  <c r="L14" i="1"/>
  <c r="I19" i="1"/>
  <c r="S18" i="1" l="1"/>
  <c r="Q18" i="1"/>
  <c r="U18" i="1"/>
  <c r="P19" i="1"/>
  <c r="Q19" i="1" s="1"/>
  <c r="R19" i="1"/>
  <c r="S19" i="1" s="1"/>
  <c r="T19" i="1"/>
  <c r="U19" i="1" s="1"/>
  <c r="N26" i="1"/>
  <c r="O28" i="1"/>
  <c r="K40" i="1"/>
  <c r="L28" i="1"/>
  <c r="N28" i="1"/>
  <c r="N29" i="1" s="1"/>
  <c r="M28" i="1"/>
  <c r="I42" i="1"/>
  <c r="L41" i="1"/>
  <c r="J41" i="1"/>
  <c r="N41" i="1"/>
  <c r="L26" i="1"/>
  <c r="L29" i="1"/>
  <c r="K14" i="1"/>
  <c r="K26" i="1"/>
  <c r="J30" i="1"/>
  <c r="K30" i="1"/>
  <c r="J25" i="1"/>
  <c r="S38" i="1"/>
  <c r="M37" i="1"/>
  <c r="O37" i="1"/>
  <c r="M30" i="1"/>
  <c r="L30" i="1"/>
  <c r="O30" i="1"/>
  <c r="N30" i="1"/>
  <c r="M26" i="1"/>
  <c r="M14" i="1"/>
  <c r="M15" i="1" s="1"/>
  <c r="M16" i="1" s="1"/>
  <c r="M17" i="1" s="1"/>
  <c r="M18" i="1" s="1"/>
  <c r="M19" i="1" s="1"/>
  <c r="M20" i="1" s="1"/>
  <c r="M21" i="1" s="1"/>
  <c r="M22" i="1" s="1"/>
  <c r="M23" i="1" s="1"/>
  <c r="M24" i="1" s="1"/>
  <c r="L25" i="1"/>
  <c r="O14" i="1"/>
  <c r="O26" i="1"/>
  <c r="N25" i="1"/>
  <c r="I20" i="1"/>
  <c r="K41" i="1" l="1"/>
  <c r="P20" i="1"/>
  <c r="T20" i="1"/>
  <c r="U20" i="1" s="1"/>
  <c r="R20" i="1"/>
  <c r="I43" i="1"/>
  <c r="N42" i="1"/>
  <c r="L42" i="1"/>
  <c r="L49" i="1" s="1"/>
  <c r="J42" i="1"/>
  <c r="L60" i="1" s="1"/>
  <c r="K15" i="1"/>
  <c r="K16" i="1" s="1"/>
  <c r="K17" i="1" s="1"/>
  <c r="K18" i="1" s="1"/>
  <c r="K19" i="1" s="1"/>
  <c r="K20" i="1" s="1"/>
  <c r="K21" i="1" s="1"/>
  <c r="K22" i="1" s="1"/>
  <c r="K23" i="1" s="1"/>
  <c r="K24" i="1" s="1"/>
  <c r="S39" i="1"/>
  <c r="M38" i="1"/>
  <c r="M29" i="1"/>
  <c r="M25" i="1" a="1"/>
  <c r="M25" i="1" s="1"/>
  <c r="O15" i="1"/>
  <c r="O16" i="1" s="1"/>
  <c r="O17" i="1" s="1"/>
  <c r="O18" i="1" s="1"/>
  <c r="O19" i="1" s="1"/>
  <c r="O20" i="1" s="1"/>
  <c r="O21" i="1" s="1"/>
  <c r="O22" i="1" s="1"/>
  <c r="O23" i="1" s="1"/>
  <c r="O24" i="1" s="1"/>
  <c r="O29" i="1"/>
  <c r="I21" i="1"/>
  <c r="K42" i="1" l="1"/>
  <c r="R21" i="1"/>
  <c r="P21" i="1"/>
  <c r="T21" i="1"/>
  <c r="S20" i="1"/>
  <c r="Q20" i="1"/>
  <c r="K25" i="1" a="1"/>
  <c r="K25" i="1" s="1"/>
  <c r="N49" i="1"/>
  <c r="I44" i="1"/>
  <c r="L43" i="1"/>
  <c r="N43" i="1"/>
  <c r="J43" i="1"/>
  <c r="M39" i="1"/>
  <c r="S40" i="1"/>
  <c r="Q48" i="1" a="1"/>
  <c r="Q48" i="1" s="1"/>
  <c r="O25" i="1" a="1"/>
  <c r="O25" i="1" s="1"/>
  <c r="I22" i="1"/>
  <c r="S21" i="1" l="1"/>
  <c r="Q21" i="1"/>
  <c r="U21" i="1"/>
  <c r="R22" i="1"/>
  <c r="P22" i="1"/>
  <c r="T22" i="1"/>
  <c r="I45" i="1"/>
  <c r="N44" i="1"/>
  <c r="L44" i="1"/>
  <c r="J44" i="1"/>
  <c r="K43" i="1"/>
  <c r="K44" i="1" s="1"/>
  <c r="O38" i="1"/>
  <c r="O39" i="1" s="1"/>
  <c r="O40" i="1" s="1"/>
  <c r="O41" i="1" s="1"/>
  <c r="M40" i="1"/>
  <c r="M41" i="1" s="1"/>
  <c r="M42" i="1" s="1"/>
  <c r="M43" i="1" s="1"/>
  <c r="M48" i="1" a="1"/>
  <c r="M48" i="1" s="1"/>
  <c r="S41" i="1"/>
  <c r="S42" i="1" s="1"/>
  <c r="I23" i="1"/>
  <c r="M44" i="1" l="1"/>
  <c r="Q22" i="1"/>
  <c r="U22" i="1"/>
  <c r="P23" i="1"/>
  <c r="R23" i="1"/>
  <c r="T23" i="1"/>
  <c r="S22" i="1"/>
  <c r="I46" i="1"/>
  <c r="L45" i="1"/>
  <c r="N45" i="1"/>
  <c r="J45" i="1"/>
  <c r="O42" i="1"/>
  <c r="I24" i="1"/>
  <c r="Q23" i="1" l="1"/>
  <c r="P24" i="1"/>
  <c r="Q28" i="1" s="1"/>
  <c r="Q29" i="1" s="1"/>
  <c r="R24" i="1"/>
  <c r="S30" i="1" s="1"/>
  <c r="T24" i="1"/>
  <c r="U28" i="1" s="1"/>
  <c r="U29" i="1" s="1"/>
  <c r="U23" i="1"/>
  <c r="P25" i="1"/>
  <c r="Q26" i="1"/>
  <c r="P30" i="1"/>
  <c r="Q30" i="1"/>
  <c r="S23" i="1"/>
  <c r="P28" i="1"/>
  <c r="P29" i="1" s="1"/>
  <c r="I47" i="1"/>
  <c r="N46" i="1"/>
  <c r="J46" i="1"/>
  <c r="L46" i="1"/>
  <c r="M45" i="1"/>
  <c r="K45" i="1"/>
  <c r="S43" i="1"/>
  <c r="O43" i="1"/>
  <c r="K46" i="1" l="1"/>
  <c r="T25" i="1"/>
  <c r="T30" i="1"/>
  <c r="R25" i="1"/>
  <c r="U30" i="1"/>
  <c r="S26" i="1"/>
  <c r="T28" i="1"/>
  <c r="T29" i="1" s="1"/>
  <c r="L59" i="1"/>
  <c r="Q24" i="1"/>
  <c r="Q25" i="1" s="1" a="1"/>
  <c r="Q25" i="1" s="1"/>
  <c r="U24" i="1"/>
  <c r="U25" i="1" s="1" a="1"/>
  <c r="U25" i="1" s="1"/>
  <c r="S24" i="1"/>
  <c r="S25" i="1" s="1" a="1"/>
  <c r="S25" i="1" s="1"/>
  <c r="U26" i="1"/>
  <c r="S28" i="1"/>
  <c r="S29" i="1" s="1"/>
  <c r="R30" i="1"/>
  <c r="R28" i="1"/>
  <c r="R29" i="1" s="1"/>
  <c r="M46" i="1"/>
  <c r="N47" i="1"/>
  <c r="O49" i="1" s="1"/>
  <c r="L47" i="1"/>
  <c r="M49" i="1" s="1"/>
  <c r="J47" i="1"/>
  <c r="S44" i="1"/>
  <c r="O44" i="1"/>
  <c r="J53" i="1" l="1"/>
  <c r="J51" i="1"/>
  <c r="J52" i="1" s="1"/>
  <c r="K51" i="1"/>
  <c r="K52" i="1" s="1"/>
  <c r="J48" i="1"/>
  <c r="K53" i="1"/>
  <c r="N53" i="1"/>
  <c r="O53" i="1"/>
  <c r="N51" i="1"/>
  <c r="N52" i="1" s="1"/>
  <c r="O51" i="1"/>
  <c r="O52" i="1" s="1"/>
  <c r="L53" i="1"/>
  <c r="L51" i="1"/>
  <c r="L52" i="1" s="1"/>
  <c r="M51" i="1"/>
  <c r="M52" i="1" s="1"/>
  <c r="M53" i="1"/>
  <c r="L48" i="1"/>
  <c r="N48" i="1"/>
  <c r="M47" i="1"/>
  <c r="K47" i="1"/>
  <c r="K49" i="1"/>
  <c r="S45" i="1"/>
  <c r="O45" i="1"/>
  <c r="S46" i="1" l="1"/>
  <c r="S47" i="1" s="1"/>
  <c r="S52" i="1"/>
  <c r="S49" i="1"/>
  <c r="R52" i="1"/>
  <c r="R48" i="1"/>
  <c r="O46" i="1"/>
  <c r="S48" i="1" l="1" a="1"/>
  <c r="S48" i="1" s="1"/>
  <c r="O47" i="1"/>
  <c r="O48" i="1" a="1"/>
  <c r="O48" i="1"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<sst xmlns="http://schemas.openxmlformats.org/spreadsheetml/2006/main" count="193" uniqueCount="105">
  <si>
    <t>Incremental Cash Flows, Net (excluding financing costs)</t>
  </si>
  <si>
    <t>*Use the shaded area below for all calculations. Remember to show your work to receive full credit (calculations including cell references and formulas vs. values).</t>
  </si>
  <si>
    <t>Investment A</t>
  </si>
  <si>
    <t>Investment B</t>
  </si>
  <si>
    <t>Investment C</t>
  </si>
  <si>
    <t>Investment D</t>
  </si>
  <si>
    <t>Year</t>
  </si>
  <si>
    <t>(Upgrade Germany)</t>
  </si>
  <si>
    <t>(Acquire Australia)</t>
  </si>
  <si>
    <t>(New Product)</t>
  </si>
  <si>
    <t>(Enhance Products)</t>
  </si>
  <si>
    <t>Initial Investment</t>
  </si>
  <si>
    <t>Year 1 (end)</t>
  </si>
  <si>
    <t>Year 2 (end)</t>
  </si>
  <si>
    <t>Year 3 (end)</t>
  </si>
  <si>
    <t>Year 4 (end)</t>
  </si>
  <si>
    <t>Year 5 (end)</t>
  </si>
  <si>
    <t>Year 6 (end)</t>
  </si>
  <si>
    <t>Year 7 (end)</t>
  </si>
  <si>
    <t>Year 8 (end)</t>
  </si>
  <si>
    <t>Year 9 (end)</t>
  </si>
  <si>
    <t>Year 10 (end)</t>
  </si>
  <si>
    <t>Total</t>
  </si>
  <si>
    <t>Available Bond Financing</t>
  </si>
  <si>
    <t>Bond Limit</t>
  </si>
  <si>
    <t>Bond Value</t>
  </si>
  <si>
    <t>Bond Proceeds</t>
  </si>
  <si>
    <t>Bond Total</t>
  </si>
  <si>
    <t>Stock Limit</t>
  </si>
  <si>
    <t>Stock Value</t>
  </si>
  <si>
    <t>Stock Proceeds</t>
  </si>
  <si>
    <t>Stock Available</t>
  </si>
  <si>
    <t>Available Stock Financing</t>
  </si>
  <si>
    <t>Bond Interest</t>
  </si>
  <si>
    <t>Line of Credit</t>
  </si>
  <si>
    <t>Line of Credit Available</t>
  </si>
  <si>
    <t>Line of Credit Interest</t>
  </si>
  <si>
    <t>Bond Ratio</t>
  </si>
  <si>
    <t>Stock Ratio</t>
  </si>
  <si>
    <t>Cash Flow</t>
  </si>
  <si>
    <t>Bond Total:</t>
  </si>
  <si>
    <t>Needed in Bonds</t>
  </si>
  <si>
    <t>Stock Total</t>
  </si>
  <si>
    <t>Needed in Stock</t>
  </si>
  <si>
    <t>Total in Stocks</t>
  </si>
  <si>
    <t>WACC</t>
  </si>
  <si>
    <t>Debt %</t>
  </si>
  <si>
    <t>Equity %</t>
  </si>
  <si>
    <t>After Tax Cost of Debt</t>
  </si>
  <si>
    <t xml:space="preserve">                         General Information</t>
  </si>
  <si>
    <t xml:space="preserve">                             Bond Information</t>
  </si>
  <si>
    <t xml:space="preserve">                       Stock Information</t>
  </si>
  <si>
    <t xml:space="preserve">                  Line of Credit Information</t>
  </si>
  <si>
    <t>Balance</t>
  </si>
  <si>
    <t>Interest Payment</t>
  </si>
  <si>
    <t>Investment Cost</t>
  </si>
  <si>
    <t>w/ WACC</t>
  </si>
  <si>
    <t>NPV:</t>
  </si>
  <si>
    <t>PI:</t>
  </si>
  <si>
    <t>MIRR:</t>
  </si>
  <si>
    <t>Total Investment</t>
  </si>
  <si>
    <t>w/ Required Rate</t>
  </si>
  <si>
    <t xml:space="preserve">                   A/B Investment Information</t>
  </si>
  <si>
    <t xml:space="preserve">                                              Cash Flow</t>
  </si>
  <si>
    <t>Year 1-10</t>
  </si>
  <si>
    <t>Year 1-5</t>
  </si>
  <si>
    <t>Year 6-10</t>
  </si>
  <si>
    <t xml:space="preserve">                                            AFTER TAXES</t>
  </si>
  <si>
    <t xml:space="preserve">                                                      W/ FINANCING</t>
  </si>
  <si>
    <t xml:space="preserve">                                        AFTER TAXES</t>
  </si>
  <si>
    <t xml:space="preserve">                                             W/ FINANCING</t>
  </si>
  <si>
    <t xml:space="preserve">                                                          BASE</t>
  </si>
  <si>
    <t xml:space="preserve">                                                   BASE</t>
  </si>
  <si>
    <t xml:space="preserve">                   C/D Investment Information</t>
  </si>
  <si>
    <t xml:space="preserve">                                     Investment A (Upgrade Germany)</t>
  </si>
  <si>
    <t xml:space="preserve">                                       Investment B (Acquire Australia)</t>
  </si>
  <si>
    <t xml:space="preserve">                                     Investment C (New Product)</t>
  </si>
  <si>
    <t xml:space="preserve">                                     Investment D (Enhance Products)</t>
  </si>
  <si>
    <t>Investment</t>
  </si>
  <si>
    <t>NPV (Required Rate)</t>
  </si>
  <si>
    <t>N/A</t>
  </si>
  <si>
    <t>After-Tax Cost of Debt %</t>
  </si>
  <si>
    <t>Undiscounted Cash Flow</t>
  </si>
  <si>
    <t>Recommendation</t>
  </si>
  <si>
    <t>Bonds Issued</t>
  </si>
  <si>
    <t>Bond Cost</t>
  </si>
  <si>
    <t>Stock Issued</t>
  </si>
  <si>
    <t>Stock Cost</t>
  </si>
  <si>
    <t>Line of Credit Used</t>
  </si>
  <si>
    <t>Total Interest</t>
  </si>
  <si>
    <t>Stock Financing Req'</t>
  </si>
  <si>
    <t>Bond Financing Req'</t>
  </si>
  <si>
    <t>SUMMARY</t>
  </si>
  <si>
    <t>Stock Helper</t>
  </si>
  <si>
    <t>Bond Helper</t>
  </si>
  <si>
    <t>Credit Helper</t>
  </si>
  <si>
    <t>Total Debt</t>
  </si>
  <si>
    <t>Corporate Tax Rate</t>
  </si>
  <si>
    <t>Required Rate of Return</t>
  </si>
  <si>
    <t xml:space="preserve">                                                   AFTER TAXES</t>
  </si>
  <si>
    <t xml:space="preserve">                                                     W/ FINANCING</t>
  </si>
  <si>
    <t xml:space="preserve">                      Allocated Capital Summary</t>
  </si>
  <si>
    <t>Line of Credit Financing</t>
  </si>
  <si>
    <t>Actual Debt %</t>
  </si>
  <si>
    <t>Actual Equity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</si>
</sst>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6" formatCode="&quot;$&quot;#,##0.0_);[Red]\(&quot;$&quot;#,##0.0\)"/>
    <numFmt numFmtId="170" formatCode="_(&quot;$&quot;* #,##0_);_(&quot;$&quot;* \(#,##0\);_(&quot;$&quot;* &quot;-&quot;??_);_(@_)"/>
    <numFmt numFmtId="180" formatCode="0.000%"/>
    <numFmt numFmtId="185" formatCode="&quot;Payback Period: &quot;\ #.##"/>
    <numFmt numFmtId="198" formatCode="&quot;IRR: &quot;\ 0.00%;\ &quot;IRR: &quot;\ \-0.00%\ "/>
    <numFmt numFmtId="199" formatCode="&quot;DSCR: &quot;\ 0.00;\ &quot;DSCR: &quot;\ \-0.00\ "/>
    <numFmt numFmtId="202" formatCode="&quot;$&quot;#,##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2"/>
      <color theme="1"/>
      <name val="Futura Medium"/>
    </font>
    <font>
      <sz val="12"/>
      <color rgb="FF000000"/>
      <name val="Futura Medium"/>
    </font>
    <font>
      <sz val="12"/>
      <color theme="1"/>
      <name val="Calibri"/>
      <family val="2"/>
      <scheme val="minor"/>
    </font>
    <font>
      <i/>
      <sz val="11"/>
      <color theme="0"/>
      <name val="Calibri"/>
      <family val="2"/>
      <scheme val="minor"/>
    </font>
    <font>
      <b/>
      <sz val="12"/>
      <color theme="1"/>
      <name val="Calibri"/>
      <family val="2"/>
      <scheme val="minor"/>
    </font>
    <font>
      <b/>
      <sz val="14"/>
      <color theme="0"/>
      <name val="Calibri"/>
      <family val="2"/>
      <scheme val="minor"/>
    </font>
    <font>
      <b/>
      <sz val="11"/>
      <color theme="0"/>
      <name val="Calibri"/>
      <family val="2"/>
      <scheme val="minor"/>
    </font>
    <font>
      <b/>
      <sz val="16"/>
      <color theme="1"/>
      <name val="Calibri"/>
      <family val="2"/>
      <scheme val="minor"/>
    </font>
    <font>
      <sz val="11"/>
      <color theme="4" tint="0.79998168889431442"/>
      <name val="Calibri"/>
      <family val="2"/>
      <scheme val="minor"/>
    </font>
    <font>
      <b/>
      <sz val="11"/>
      <color theme="4" tint="0.79998168889431442"/>
      <name val="Calibri"/>
      <family val="2"/>
      <scheme val="minor"/>
    </font>
    <font>
      <b/>
      <sz val="14"/>
      <color theme="1"/>
      <name val="Calibri"/>
      <family val="2"/>
      <scheme val="minor"/>
    </font>
    <font>
      <b/>
      <u/>
      <sz val="12"/>
      <color theme="1"/>
      <name val="Calibri"/>
      <family val="2"/>
      <scheme val="minor"/>
    </font>
    <font>
      <b/>
      <u/>
      <sz val="11"/>
      <color theme="1"/>
      <name val="Calibri"/>
      <family val="2"/>
      <scheme val="minor"/>
    </font>
  </fonts>
  <fills count="6">
    <fill>
      <patternFill patternType="none"/>
    </fill>
    <fill>
      <patternFill patternType="gray125"/>
    </fill>
    <fill>
      <patternFill patternType="solid">
        <fgColor rgb="FF003057"/>
        <bgColor indexed="64"/>
      </patternFill>
    </fill>
    <fill>
      <patternFill patternType="solid">
        <fgColor theme="1"/>
        <bgColor indexed="64"/>
      </patternFill>
    </fill>
    <fill>
      <patternFill patternType="solid">
        <fgColor theme="8" tint="0.79998168889431442"/>
        <bgColor indexed="64"/>
      </patternFill>
    </fill>
    <fill>
      <patternFill patternType="solid">
        <fgColor theme="3" tint="-0.249977111117893"/>
        <bgColor indexed="64"/>
      </patternFill>
    </fill>
  </fills>
  <borders count="2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9">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0" fontId="3" fillId="0" borderId="0"/>
    <xf numFmtId="0" fontId="1"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cellStyleXfs>
  <cellXfs count="152">
    <xf numFmtId="0" fontId="0" fillId="0" borderId="0" xfId="0"/>
    <xf numFmtId="0" fontId="4" fillId="2" borderId="0" xfId="0" applyFont="1" applyFill="1" applyProtection="1">
      <protection locked="0"/>
    </xf>
    <xf numFmtId="0" fontId="4" fillId="0" borderId="0" xfId="0" applyFont="1" applyAlignment="1" applyProtection="1">
      <alignment horizontal="left"/>
      <protection locked="0"/>
    </xf>
    <xf numFmtId="0" fontId="5" fillId="0" borderId="0" xfId="0" applyFont="1" applyProtection="1">
      <protection locked="0"/>
    </xf>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left"/>
    </xf>
    <xf numFmtId="164" fontId="0" fillId="0" borderId="0" xfId="2" applyNumberFormat="1" applyFont="1"/>
    <xf numFmtId="0" fontId="3" fillId="3" borderId="0" xfId="0" applyFont="1" applyFill="1" applyAlignment="1" applyProtection="1">
      <alignment horizontal="center"/>
      <protection locked="0"/>
    </xf>
    <xf numFmtId="0" fontId="0" fillId="4" borderId="0" xfId="0" applyFill="1"/>
    <xf numFmtId="6" fontId="0" fillId="4" borderId="0" xfId="1" applyNumberFormat="1" applyFont="1" applyFill="1" applyAlignment="1">
      <alignment horizontal="center"/>
    </xf>
    <xf numFmtId="6" fontId="0" fillId="4" borderId="1" xfId="1" applyNumberFormat="1" applyFont="1" applyFill="1" applyBorder="1" applyAlignment="1">
      <alignment horizontal="center"/>
    </xf>
    <xf numFmtId="6" fontId="0" fillId="4" borderId="0" xfId="0" applyNumberFormat="1" applyFill="1" applyAlignment="1">
      <alignment horizontal="center"/>
    </xf>
    <xf numFmtId="0" fontId="0" fillId="0" borderId="0" xfId="0"/>
    <xf numFmtId="0" fontId="7" fillId="3" borderId="0" xfId="3" applyFont="1" applyFill="1" applyAlignment="1">
      <alignment horizontal="center"/>
    </xf>
    <xf numFmtId="9" fontId="0" fillId="0" borderId="0" xfId="0" applyNumberFormat="1"/>
    <xf numFmtId="8" fontId="0" fillId="0" borderId="0" xfId="0" applyNumberFormat="1"/>
    <xf numFmtId="8" fontId="0" fillId="4" borderId="0" xfId="0" applyNumberFormat="1" applyFill="1"/>
    <xf numFmtId="6" fontId="0" fillId="4" borderId="0" xfId="0" applyNumberFormat="1" applyFill="1"/>
    <xf numFmtId="2" fontId="0" fillId="4" borderId="0" xfId="0" applyNumberFormat="1" applyFill="1"/>
    <xf numFmtId="6" fontId="0" fillId="0" borderId="0" xfId="0" applyNumberFormat="1"/>
    <xf numFmtId="166" fontId="0" fillId="4" borderId="0" xfId="0" applyNumberFormat="1" applyFill="1"/>
    <xf numFmtId="170" fontId="0" fillId="0" borderId="0" xfId="1" applyNumberFormat="1" applyFont="1"/>
    <xf numFmtId="6" fontId="0" fillId="4" borderId="4" xfId="0" applyNumberFormat="1" applyFill="1" applyBorder="1"/>
    <xf numFmtId="6" fontId="0" fillId="4" borderId="0" xfId="0" applyNumberFormat="1" applyFill="1" applyBorder="1"/>
    <xf numFmtId="2" fontId="0" fillId="4" borderId="4" xfId="0" applyNumberFormat="1" applyFill="1" applyBorder="1"/>
    <xf numFmtId="6" fontId="0" fillId="4" borderId="12" xfId="1" applyNumberFormat="1" applyFont="1" applyFill="1" applyBorder="1" applyAlignment="1">
      <alignment horizontal="center"/>
    </xf>
    <xf numFmtId="6" fontId="0" fillId="4" borderId="14" xfId="1" applyNumberFormat="1" applyFont="1" applyFill="1" applyBorder="1" applyAlignment="1">
      <alignment horizontal="center"/>
    </xf>
    <xf numFmtId="6" fontId="0" fillId="4" borderId="0" xfId="1" applyNumberFormat="1" applyFont="1" applyFill="1" applyBorder="1" applyAlignment="1">
      <alignment horizontal="center"/>
    </xf>
    <xf numFmtId="2" fontId="2" fillId="4" borderId="0" xfId="0" applyNumberFormat="1" applyFont="1" applyFill="1" applyBorder="1" applyAlignment="1">
      <alignment horizontal="center"/>
    </xf>
    <xf numFmtId="2" fontId="0" fillId="4" borderId="0" xfId="1" applyNumberFormat="1" applyFont="1" applyFill="1" applyBorder="1" applyAlignment="1">
      <alignment horizontal="center"/>
    </xf>
    <xf numFmtId="2" fontId="0" fillId="4" borderId="13" xfId="1" applyNumberFormat="1" applyFont="1" applyFill="1" applyBorder="1" applyAlignment="1">
      <alignment horizontal="center"/>
    </xf>
    <xf numFmtId="10" fontId="0" fillId="4" borderId="17" xfId="1" applyNumberFormat="1" applyFont="1" applyFill="1" applyBorder="1" applyAlignment="1">
      <alignment horizontal="center"/>
    </xf>
    <xf numFmtId="0" fontId="2" fillId="4" borderId="0" xfId="0" applyFont="1" applyFill="1" applyBorder="1" applyAlignment="1">
      <alignment horizontal="right"/>
    </xf>
    <xf numFmtId="185" fontId="2" fillId="4" borderId="0" xfId="0" applyNumberFormat="1" applyFont="1" applyFill="1" applyBorder="1" applyAlignment="1">
      <alignment horizontal="center"/>
    </xf>
    <xf numFmtId="0" fontId="2" fillId="4" borderId="0" xfId="0" applyFont="1" applyFill="1" applyBorder="1" applyAlignment="1">
      <alignment horizontal="center"/>
    </xf>
    <xf numFmtId="6" fontId="0" fillId="4" borderId="12" xfId="0" applyNumberFormat="1" applyFill="1" applyBorder="1" applyAlignment="1">
      <alignment horizontal="center"/>
    </xf>
    <xf numFmtId="10" fontId="0" fillId="4" borderId="0" xfId="2" applyNumberFormat="1" applyFont="1" applyFill="1" applyBorder="1" applyAlignment="1">
      <alignment horizontal="center"/>
    </xf>
    <xf numFmtId="6" fontId="0" fillId="4" borderId="0" xfId="0" applyNumberFormat="1" applyFill="1" applyBorder="1" applyAlignment="1">
      <alignment horizontal="center"/>
    </xf>
    <xf numFmtId="8" fontId="0" fillId="4" borderId="0" xfId="0" applyNumberFormat="1" applyFill="1" applyBorder="1" applyAlignment="1">
      <alignment horizontal="center"/>
    </xf>
    <xf numFmtId="6" fontId="2" fillId="4" borderId="0" xfId="0" applyNumberFormat="1" applyFont="1" applyFill="1" applyBorder="1" applyAlignment="1">
      <alignment horizontal="center"/>
    </xf>
    <xf numFmtId="6" fontId="0" fillId="4" borderId="15" xfId="0" applyNumberFormat="1" applyFill="1" applyBorder="1" applyAlignment="1">
      <alignment horizontal="center"/>
    </xf>
    <xf numFmtId="6" fontId="0" fillId="4" borderId="16" xfId="0" applyNumberFormat="1" applyFill="1" applyBorder="1" applyAlignment="1">
      <alignment horizontal="center"/>
    </xf>
    <xf numFmtId="10" fontId="0" fillId="4" borderId="17" xfId="2" applyNumberFormat="1" applyFont="1" applyFill="1" applyBorder="1" applyAlignment="1">
      <alignment horizontal="center"/>
    </xf>
    <xf numFmtId="0" fontId="0" fillId="4" borderId="0" xfId="0" applyFill="1" applyBorder="1" applyAlignment="1">
      <alignment horizontal="center"/>
    </xf>
    <xf numFmtId="10" fontId="0" fillId="4" borderId="16" xfId="2" applyNumberFormat="1" applyFont="1" applyFill="1" applyBorder="1" applyAlignment="1">
      <alignment horizontal="center"/>
    </xf>
    <xf numFmtId="6" fontId="2" fillId="4" borderId="12" xfId="0" applyNumberFormat="1" applyFont="1" applyFill="1" applyBorder="1" applyAlignment="1">
      <alignment horizontal="center"/>
    </xf>
    <xf numFmtId="185" fontId="2" fillId="4" borderId="13" xfId="0" applyNumberFormat="1" applyFont="1" applyFill="1" applyBorder="1" applyAlignment="1">
      <alignment horizontal="center"/>
    </xf>
    <xf numFmtId="0" fontId="3" fillId="5" borderId="0" xfId="0" applyFont="1" applyFill="1" applyBorder="1" applyAlignment="1" applyProtection="1">
      <alignment horizontal="center"/>
      <protection locked="0"/>
    </xf>
    <xf numFmtId="0" fontId="3" fillId="5" borderId="10" xfId="0" applyFont="1" applyFill="1" applyBorder="1" applyAlignment="1" applyProtection="1">
      <alignment horizontal="center"/>
      <protection locked="0"/>
    </xf>
    <xf numFmtId="0" fontId="3" fillId="5" borderId="11" xfId="0" applyFont="1" applyFill="1" applyBorder="1" applyAlignment="1" applyProtection="1">
      <alignment horizontal="center"/>
      <protection locked="0"/>
    </xf>
    <xf numFmtId="0" fontId="3" fillId="5" borderId="12" xfId="0" applyFont="1" applyFill="1" applyBorder="1" applyAlignment="1" applyProtection="1">
      <alignment horizontal="center"/>
      <protection locked="0"/>
    </xf>
    <xf numFmtId="0" fontId="3" fillId="5" borderId="13" xfId="0" applyFont="1" applyFill="1" applyBorder="1" applyAlignment="1" applyProtection="1">
      <alignment horizontal="center"/>
      <protection locked="0"/>
    </xf>
    <xf numFmtId="6" fontId="2" fillId="4" borderId="20" xfId="1" applyNumberFormat="1" applyFont="1" applyFill="1" applyBorder="1" applyAlignment="1">
      <alignment horizontal="center"/>
    </xf>
    <xf numFmtId="6" fontId="0" fillId="4" borderId="20" xfId="0" applyNumberFormat="1" applyFill="1" applyBorder="1"/>
    <xf numFmtId="6" fontId="0" fillId="4" borderId="20" xfId="1" applyNumberFormat="1" applyFont="1" applyFill="1" applyBorder="1" applyAlignment="1">
      <alignment horizontal="center"/>
    </xf>
    <xf numFmtId="6" fontId="2" fillId="4" borderId="20" xfId="1" applyNumberFormat="1" applyFont="1" applyFill="1" applyBorder="1" applyAlignment="1">
      <alignment horizontal="right"/>
    </xf>
    <xf numFmtId="0" fontId="2" fillId="4" borderId="20" xfId="0" applyFont="1" applyFill="1" applyBorder="1" applyAlignment="1">
      <alignment horizontal="right"/>
    </xf>
    <xf numFmtId="0" fontId="3" fillId="5" borderId="9" xfId="0" applyFont="1" applyFill="1" applyBorder="1" applyAlignment="1" applyProtection="1">
      <alignment horizontal="center"/>
      <protection locked="0"/>
    </xf>
    <xf numFmtId="6" fontId="2" fillId="4" borderId="1" xfId="1" applyNumberFormat="1" applyFont="1" applyFill="1" applyBorder="1" applyAlignment="1">
      <alignment horizontal="center"/>
    </xf>
    <xf numFmtId="6" fontId="2" fillId="4" borderId="19" xfId="1" applyNumberFormat="1" applyFont="1" applyFill="1" applyBorder="1" applyAlignment="1">
      <alignment horizontal="center"/>
    </xf>
    <xf numFmtId="6" fontId="2" fillId="4" borderId="14" xfId="1" applyNumberFormat="1" applyFont="1" applyFill="1" applyBorder="1" applyAlignment="1">
      <alignment horizontal="center"/>
    </xf>
    <xf numFmtId="6" fontId="2" fillId="4" borderId="1" xfId="0" applyNumberFormat="1" applyFont="1" applyFill="1" applyBorder="1" applyAlignment="1">
      <alignment horizontal="center"/>
    </xf>
    <xf numFmtId="10" fontId="0" fillId="4" borderId="1" xfId="2" applyNumberFormat="1" applyFont="1" applyFill="1" applyBorder="1" applyAlignment="1">
      <alignment horizontal="center"/>
    </xf>
    <xf numFmtId="6" fontId="0" fillId="4" borderId="0" xfId="2" applyNumberFormat="1" applyFont="1" applyFill="1" applyBorder="1" applyAlignment="1">
      <alignment horizontal="center"/>
    </xf>
    <xf numFmtId="6" fontId="0" fillId="4" borderId="13" xfId="0" applyNumberFormat="1" applyFill="1" applyBorder="1" applyAlignment="1">
      <alignment horizontal="center"/>
    </xf>
    <xf numFmtId="2" fontId="0" fillId="4" borderId="12" xfId="1" applyNumberFormat="1" applyFont="1" applyFill="1" applyBorder="1" applyAlignment="1">
      <alignment horizontal="center"/>
    </xf>
    <xf numFmtId="10" fontId="0" fillId="4" borderId="15" xfId="0" applyNumberFormat="1" applyFill="1" applyBorder="1" applyAlignment="1">
      <alignment horizontal="center"/>
    </xf>
    <xf numFmtId="0" fontId="2" fillId="4" borderId="20" xfId="0" applyFont="1" applyFill="1" applyBorder="1" applyAlignment="1">
      <alignment horizontal="center"/>
    </xf>
    <xf numFmtId="198" fontId="2" fillId="4" borderId="13" xfId="0" applyNumberFormat="1" applyFont="1" applyFill="1" applyBorder="1" applyAlignment="1">
      <alignment horizontal="center"/>
    </xf>
    <xf numFmtId="10" fontId="0" fillId="4" borderId="19" xfId="2" applyNumberFormat="1" applyFont="1" applyFill="1" applyBorder="1" applyAlignment="1">
      <alignment horizontal="center"/>
    </xf>
    <xf numFmtId="185" fontId="2" fillId="4" borderId="21" xfId="0" applyNumberFormat="1" applyFont="1" applyFill="1" applyBorder="1" applyAlignment="1">
      <alignment horizontal="center"/>
    </xf>
    <xf numFmtId="0" fontId="9" fillId="5" borderId="9" xfId="0" applyFont="1" applyFill="1" applyBorder="1" applyAlignment="1" applyProtection="1">
      <alignment horizontal="center"/>
      <protection locked="0"/>
    </xf>
    <xf numFmtId="0" fontId="10" fillId="5" borderId="9" xfId="0" applyFont="1" applyFill="1" applyBorder="1" applyAlignment="1" applyProtection="1">
      <alignment horizontal="center"/>
      <protection locked="0"/>
    </xf>
    <xf numFmtId="0" fontId="9" fillId="5" borderId="10" xfId="0" applyFont="1" applyFill="1" applyBorder="1" applyAlignment="1" applyProtection="1">
      <alignment horizontal="center"/>
      <protection locked="0"/>
    </xf>
    <xf numFmtId="6" fontId="2" fillId="4" borderId="2" xfId="0" applyNumberFormat="1" applyFont="1" applyFill="1" applyBorder="1"/>
    <xf numFmtId="0" fontId="0" fillId="4" borderId="5" xfId="0" applyFill="1" applyBorder="1"/>
    <xf numFmtId="9" fontId="0" fillId="4" borderId="6" xfId="2" applyNumberFormat="1" applyFont="1" applyFill="1" applyBorder="1"/>
    <xf numFmtId="0" fontId="0" fillId="4" borderId="7" xfId="0" applyFill="1" applyBorder="1"/>
    <xf numFmtId="9" fontId="0" fillId="4" borderId="8" xfId="2" applyNumberFormat="1" applyFont="1" applyFill="1" applyBorder="1"/>
    <xf numFmtId="6" fontId="0" fillId="4" borderId="5" xfId="0" applyNumberFormat="1" applyFont="1" applyFill="1" applyBorder="1"/>
    <xf numFmtId="10" fontId="1" fillId="4" borderId="6" xfId="2" applyNumberFormat="1" applyFont="1" applyFill="1" applyBorder="1"/>
    <xf numFmtId="6" fontId="0" fillId="4" borderId="7" xfId="0" applyNumberFormat="1" applyFont="1" applyFill="1" applyBorder="1"/>
    <xf numFmtId="10" fontId="2" fillId="4" borderId="8" xfId="2" applyNumberFormat="1" applyFont="1" applyFill="1" applyBorder="1"/>
    <xf numFmtId="170" fontId="0" fillId="4" borderId="6" xfId="1" applyNumberFormat="1" applyFont="1" applyFill="1" applyBorder="1"/>
    <xf numFmtId="9" fontId="0" fillId="4" borderId="6" xfId="0" applyNumberFormat="1" applyFill="1" applyBorder="1"/>
    <xf numFmtId="0" fontId="0" fillId="4" borderId="6" xfId="0" applyFill="1" applyBorder="1"/>
    <xf numFmtId="180" fontId="0" fillId="4" borderId="8" xfId="0" applyNumberFormat="1" applyFill="1" applyBorder="1"/>
    <xf numFmtId="198" fontId="2" fillId="4" borderId="0" xfId="0" applyNumberFormat="1" applyFont="1" applyFill="1" applyBorder="1" applyAlignment="1">
      <alignment horizontal="center"/>
    </xf>
    <xf numFmtId="2" fontId="2" fillId="4" borderId="2" xfId="0" applyNumberFormat="1" applyFont="1" applyFill="1" applyBorder="1"/>
    <xf numFmtId="9" fontId="0" fillId="4" borderId="8" xfId="0" applyNumberFormat="1" applyFill="1" applyBorder="1"/>
    <xf numFmtId="10" fontId="0" fillId="4" borderId="16" xfId="1" applyNumberFormat="1" applyFont="1" applyFill="1" applyBorder="1" applyAlignment="1">
      <alignment horizontal="center"/>
    </xf>
    <xf numFmtId="2" fontId="0" fillId="4" borderId="7" xfId="0" applyNumberFormat="1" applyFill="1" applyBorder="1"/>
    <xf numFmtId="10" fontId="0" fillId="4" borderId="8" xfId="2" applyNumberFormat="1" applyFont="1" applyFill="1" applyBorder="1"/>
    <xf numFmtId="10" fontId="0" fillId="4" borderId="0" xfId="0" applyNumberFormat="1" applyFill="1" applyBorder="1" applyAlignment="1">
      <alignment horizontal="left"/>
    </xf>
    <xf numFmtId="0" fontId="2" fillId="4" borderId="22" xfId="0" applyFont="1" applyFill="1" applyBorder="1" applyAlignment="1">
      <alignment horizontal="center"/>
    </xf>
    <xf numFmtId="6" fontId="2" fillId="4" borderId="22" xfId="1" applyNumberFormat="1" applyFont="1" applyFill="1" applyBorder="1" applyAlignment="1">
      <alignment horizontal="center"/>
    </xf>
    <xf numFmtId="6" fontId="0" fillId="4" borderId="22" xfId="0" applyNumberFormat="1" applyFill="1" applyBorder="1"/>
    <xf numFmtId="6" fontId="0" fillId="4" borderId="22" xfId="1" applyNumberFormat="1" applyFont="1" applyFill="1" applyBorder="1" applyAlignment="1">
      <alignment horizontal="center"/>
    </xf>
    <xf numFmtId="6" fontId="2" fillId="4" borderId="22" xfId="1" applyNumberFormat="1" applyFont="1" applyFill="1" applyBorder="1" applyAlignment="1">
      <alignment horizontal="right"/>
    </xf>
    <xf numFmtId="0" fontId="2" fillId="4" borderId="18" xfId="0" applyFont="1" applyFill="1" applyBorder="1" applyAlignment="1">
      <alignment horizontal="right"/>
    </xf>
    <xf numFmtId="199" fontId="2" fillId="4" borderId="12" xfId="2" applyNumberFormat="1" applyFont="1" applyFill="1" applyBorder="1" applyAlignment="1">
      <alignment horizontal="center"/>
    </xf>
    <xf numFmtId="0" fontId="0" fillId="0" borderId="0" xfId="0" applyFill="1" applyBorder="1"/>
    <xf numFmtId="6" fontId="0" fillId="0" borderId="0" xfId="1" applyNumberFormat="1" applyFont="1" applyFill="1" applyBorder="1" applyAlignment="1">
      <alignment horizontal="center"/>
    </xf>
    <xf numFmtId="2" fontId="0" fillId="0" borderId="0" xfId="0" applyNumberFormat="1" applyFill="1" applyBorder="1"/>
    <xf numFmtId="6" fontId="0" fillId="0" borderId="0" xfId="0" applyNumberFormat="1" applyFill="1" applyBorder="1"/>
    <xf numFmtId="10" fontId="1" fillId="4" borderId="8" xfId="2" applyNumberFormat="1" applyFont="1" applyFill="1" applyBorder="1"/>
    <xf numFmtId="0" fontId="2" fillId="4" borderId="6" xfId="0" applyFont="1" applyFill="1" applyBorder="1" applyAlignment="1">
      <alignment horizontal="center"/>
    </xf>
    <xf numFmtId="6" fontId="0" fillId="4" borderId="6" xfId="0" applyNumberFormat="1" applyFill="1" applyBorder="1">
      <extLst>
        <ext xmlns:xfpb="http://schemas.microsoft.com/office/spreadsheetml/2022/featurepropertybag" uri="{C7286773-470A-42A8-94C5-96B5CB345126}">
          <xfpb:xfComplement i="0"/>
        </ext>
      </extLst>
    </xf>
    <xf numFmtId="0" fontId="0" fillId="4" borderId="1" xfId="0" applyFill="1" applyBorder="1" applyAlignment="1">
      <alignment horizontal="center"/>
    </xf>
    <xf numFmtId="6" fontId="0" fillId="4" borderId="8" xfId="0" applyNumberFormat="1" applyFill="1" applyBorder="1">
      <extLst>
        <ext xmlns:xfpb="http://schemas.microsoft.com/office/spreadsheetml/2022/featurepropertybag" uri="{C7286773-470A-42A8-94C5-96B5CB345126}">
          <xfpb:xfComplement i="0"/>
        </ext>
      </extLst>
    </xf>
    <xf numFmtId="10" fontId="0" fillId="4" borderId="20" xfId="0" applyNumberFormat="1" applyFill="1" applyBorder="1" applyAlignment="1">
      <alignment horizontal="left"/>
    </xf>
    <xf numFmtId="10" fontId="0" fillId="4" borderId="23" xfId="1" applyNumberFormat="1" applyFont="1" applyFill="1" applyBorder="1" applyAlignment="1">
      <alignment horizontal="left"/>
    </xf>
    <xf numFmtId="0" fontId="2" fillId="4" borderId="23" xfId="0" applyFont="1" applyFill="1" applyBorder="1" applyAlignment="1">
      <alignment horizontal="right"/>
    </xf>
    <xf numFmtId="10" fontId="0" fillId="4" borderId="23" xfId="0" applyNumberFormat="1" applyFill="1" applyBorder="1" applyAlignment="1">
      <alignment horizontal="left"/>
    </xf>
    <xf numFmtId="10" fontId="11" fillId="4" borderId="23" xfId="1" applyNumberFormat="1" applyFont="1" applyFill="1" applyBorder="1" applyAlignment="1">
      <alignment horizontal="center"/>
    </xf>
    <xf numFmtId="0" fontId="2" fillId="4" borderId="24" xfId="0" applyFont="1" applyFill="1" applyBorder="1" applyAlignment="1">
      <alignment horizontal="right"/>
    </xf>
    <xf numFmtId="0" fontId="2" fillId="4" borderId="25" xfId="0" applyFont="1" applyFill="1" applyBorder="1" applyAlignment="1">
      <alignment horizontal="center"/>
    </xf>
    <xf numFmtId="0" fontId="0" fillId="4" borderId="26" xfId="0" applyFill="1" applyBorder="1"/>
    <xf numFmtId="0" fontId="0" fillId="4" borderId="27" xfId="0" applyFill="1" applyBorder="1"/>
    <xf numFmtId="10" fontId="12" fillId="4" borderId="0" xfId="0" applyNumberFormat="1" applyFont="1" applyFill="1" applyBorder="1" applyAlignment="1">
      <alignment horizontal="left"/>
    </xf>
    <xf numFmtId="10" fontId="12" fillId="4" borderId="0" xfId="1" applyNumberFormat="1" applyFont="1" applyFill="1" applyBorder="1" applyAlignment="1">
      <alignment horizontal="left"/>
    </xf>
    <xf numFmtId="0" fontId="12" fillId="4" borderId="0" xfId="0" applyFont="1" applyFill="1"/>
    <xf numFmtId="0" fontId="13" fillId="4" borderId="0" xfId="0" applyFont="1" applyFill="1" applyBorder="1" applyAlignment="1">
      <alignment horizontal="right"/>
    </xf>
    <xf numFmtId="0" fontId="0" fillId="4" borderId="4" xfId="0" applyFill="1" applyBorder="1"/>
    <xf numFmtId="1" fontId="0" fillId="4" borderId="6" xfId="0" applyNumberFormat="1" applyFill="1" applyBorder="1"/>
    <xf numFmtId="202" fontId="0" fillId="4" borderId="6" xfId="0" applyNumberFormat="1" applyFill="1" applyBorder="1"/>
    <xf numFmtId="0" fontId="0" fillId="4" borderId="2" xfId="0" applyFill="1" applyBorder="1"/>
    <xf numFmtId="202" fontId="0" fillId="4" borderId="4" xfId="0" applyNumberFormat="1" applyFill="1" applyBorder="1"/>
    <xf numFmtId="202" fontId="0" fillId="4" borderId="8" xfId="0" applyNumberFormat="1" applyFill="1" applyBorder="1"/>
    <xf numFmtId="6" fontId="0" fillId="4" borderId="0" xfId="0" applyNumberFormat="1" applyFont="1" applyFill="1" applyBorder="1"/>
    <xf numFmtId="6" fontId="0" fillId="4" borderId="1" xfId="0" applyNumberFormat="1" applyFont="1" applyFill="1" applyBorder="1"/>
    <xf numFmtId="0" fontId="2" fillId="4" borderId="3" xfId="0" applyFont="1" applyFill="1" applyBorder="1"/>
    <xf numFmtId="0" fontId="0" fillId="4" borderId="0" xfId="0" applyFill="1" applyBorder="1"/>
    <xf numFmtId="6" fontId="0" fillId="4" borderId="19" xfId="0" applyNumberFormat="1" applyFill="1" applyBorder="1" applyAlignment="1">
      <alignment horizontal="center"/>
    </xf>
    <xf numFmtId="6" fontId="0" fillId="4" borderId="1" xfId="0" applyNumberFormat="1" applyFill="1" applyBorder="1" applyAlignment="1">
      <alignment horizontal="center"/>
    </xf>
    <xf numFmtId="0" fontId="10" fillId="5" borderId="12" xfId="0" applyFont="1" applyFill="1" applyBorder="1" applyAlignment="1" applyProtection="1">
      <alignment horizontal="center"/>
      <protection locked="0"/>
    </xf>
    <xf numFmtId="0" fontId="3" fillId="5" borderId="10" xfId="0" applyFont="1" applyFill="1" applyBorder="1" applyAlignment="1" applyProtection="1">
      <alignment horizontal="right"/>
      <protection locked="0"/>
    </xf>
    <xf numFmtId="0" fontId="3" fillId="5" borderId="9" xfId="0" applyFont="1" applyFill="1" applyBorder="1" applyAlignment="1" applyProtection="1">
      <alignment horizontal="right"/>
      <protection locked="0"/>
    </xf>
    <xf numFmtId="0" fontId="3" fillId="5" borderId="11"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6" fontId="0" fillId="0" borderId="0" xfId="0" applyNumberFormat="1" applyBorder="1" applyAlignment="1">
      <alignment horizontal="center"/>
    </xf>
    <xf numFmtId="164" fontId="0" fillId="0" borderId="0" xfId="2" applyNumberFormat="1" applyFont="1" applyBorder="1" applyAlignment="1">
      <alignment horizontal="center"/>
    </xf>
    <xf numFmtId="10" fontId="0" fillId="0" borderId="0" xfId="0" applyNumberFormat="1" applyBorder="1" applyAlignment="1">
      <alignment horizontal="center"/>
    </xf>
    <xf numFmtId="2" fontId="0" fillId="0" borderId="0" xfId="0" applyNumberFormat="1" applyBorder="1" applyAlignment="1">
      <alignment horizontal="center"/>
    </xf>
    <xf numFmtId="9" fontId="15" fillId="0" borderId="0" xfId="0" applyNumberFormat="1" applyFont="1" applyBorder="1" applyAlignment="1">
      <alignment horizontal="center"/>
    </xf>
    <xf numFmtId="0" fontId="16" fillId="0" borderId="0" xfId="0" applyFont="1" applyBorder="1" applyAlignment="1">
      <alignment horizontal="center"/>
    </xf>
    <xf numFmtId="0" fontId="15" fillId="0" borderId="0" xfId="0" applyFont="1" applyBorder="1" applyAlignment="1">
      <alignment horizontal="center"/>
    </xf>
    <xf numFmtId="0" fontId="16" fillId="0" borderId="0" xfId="0" applyFont="1" applyFill="1" applyBorder="1" applyAlignment="1">
      <alignment horizontal="center"/>
    </xf>
    <xf numFmtId="0" fontId="15" fillId="0" borderId="0" xfId="0" applyFont="1" applyBorder="1"/>
    <xf numFmtId="0" fontId="8" fillId="0" borderId="0" xfId="0" applyFont="1" applyBorder="1"/>
    <xf numFmtId="6" fontId="14" fillId="0" borderId="0" xfId="1" applyNumberFormat="1" applyFont="1" applyFill="1" applyBorder="1" applyAlignment="1"/>
    <xf numFmtId="6" fontId="0" fillId="4" borderId="1" xfId="2" applyNumberFormat="1" applyFont="1" applyFill="1" applyBorder="1" applyAlignment="1">
      <alignment horizontal="center"/>
    </xf>
  </cellXfs>
  <cellStyles count="9">
    <cellStyle name="Comma 2" xfId="6" xr:uid="{E4A815AD-F0ED-4D9D-98F4-37F6ED406F6B}"/>
    <cellStyle name="Currency" xfId="1" builtinId="4"/>
    <cellStyle name="Currency 2" xfId="7" xr:uid="{BA92125C-05A9-4435-BD11-EC0F86002ACB}"/>
    <cellStyle name="Normal" xfId="0" builtinId="0"/>
    <cellStyle name="Normal 2" xfId="5" xr:uid="{8EEFCC1C-928D-424D-A775-8651D3C749D5}"/>
    <cellStyle name="Normal 3" xfId="3" xr:uid="{BB27E373-C223-4DF3-A976-D6FF03567BF7}"/>
    <cellStyle name="Percent" xfId="2" builtinId="5"/>
    <cellStyle name="Percent 2" xfId="8" xr:uid="{EB73930D-5E46-4E5D-A589-D4938F262B3D}"/>
    <cellStyle name="z A Column text" xfId="4" xr:uid="{95584297-F64F-4B94-A34F-E96859CE4627}"/>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theme" Target="theme/theme1.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3.xml"/><Relationship Id="rId5" Type="http://schemas.openxmlformats.org/officeDocument/2006/relationships/sharedStrings" Target="sharedStrings.xml"/><Relationship Id="rId10" Type="http://schemas.openxmlformats.org/officeDocument/2006/relationships/customXml" Target="../customXml/item2.xml"/><Relationship Id="rId4" Type="http://schemas.openxmlformats.org/officeDocument/2006/relationships/styles" Target="styles.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50800</xdr:colOff>
      <xdr:row>0</xdr:row>
      <xdr:rowOff>177800</xdr:rowOff>
    </xdr:from>
    <xdr:to>
      <xdr:col>16</xdr:col>
      <xdr:colOff>387350</xdr:colOff>
      <xdr:row>63</xdr:row>
      <xdr:rowOff>0</xdr:rowOff>
    </xdr:to>
    <xdr:sp macro="" textlink="">
      <xdr:nvSpPr>
        <xdr:cNvPr id="2" name="TextBox 1">
          <a:extLst>
            <a:ext uri="{FF2B5EF4-FFF2-40B4-BE49-F238E27FC236}">
              <a16:creationId xmlns:a16="http://schemas.microsoft.com/office/drawing/2014/main" id="{69C06F53-2C7B-8F09-D628-075D6A0DC1FD}"/>
            </a:ext>
          </a:extLst>
        </xdr:cNvPr>
        <xdr:cNvSpPr txBox="1"/>
      </xdr:nvSpPr>
      <xdr:spPr>
        <a:xfrm>
          <a:off x="50800" y="177800"/>
          <a:ext cx="10090150" cy="11423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Task 3 Med-I-Mark Assessment Scenario</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Company: Med-I-Mark Tech Ltd.</a:t>
          </a:r>
        </a:p>
        <a:p>
          <a:r>
            <a:rPr lang="en-US" sz="1100">
              <a:solidFill>
                <a:schemeClr val="dk1"/>
              </a:solidFill>
              <a:effectLst/>
              <a:latin typeface="+mn-lt"/>
              <a:ea typeface="+mn-ea"/>
              <a:cs typeface="+mn-cs"/>
            </a:rPr>
            <a:t>Sector(s): Technology</a:t>
          </a:r>
        </a:p>
        <a:p>
          <a:r>
            <a:rPr lang="en-US" sz="1100">
              <a:solidFill>
                <a:schemeClr val="dk1"/>
              </a:solidFill>
              <a:effectLst/>
              <a:latin typeface="+mn-lt"/>
              <a:ea typeface="+mn-ea"/>
              <a:cs typeface="+mn-cs"/>
            </a:rPr>
            <a:t>Industry: Scientific and Technical Instruments; MedTech as a Service (MTaaS)</a:t>
          </a:r>
        </a:p>
        <a:p>
          <a:r>
            <a:rPr lang="en-US" sz="1100">
              <a:solidFill>
                <a:schemeClr val="dk1"/>
              </a:solidFill>
              <a:effectLst/>
              <a:latin typeface="+mn-lt"/>
              <a:ea typeface="+mn-ea"/>
              <a:cs typeface="+mn-cs"/>
            </a:rPr>
            <a:t>Full-Time Employees: 25,200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Med-I-Mark Tech Ltd. designs, develops, manufactures, markets, and distributes a range of medical devices and supplies in the Americas, Europe, and the Middle East. </a:t>
          </a:r>
        </a:p>
        <a:p>
          <a:r>
            <a:rPr lang="en-US" sz="1100">
              <a:solidFill>
                <a:schemeClr val="dk1"/>
              </a:solidFill>
              <a:effectLst/>
              <a:latin typeface="+mn-lt"/>
              <a:ea typeface="+mn-ea"/>
              <a:cs typeface="+mn-cs"/>
            </a:rPr>
            <a:t>The organization’s global operating footprint includes branch offices and manufacturing facilities in Germany, England, Brazil, Canada, and the United States. The company sells its products primarily through specialty retailers or distributors, and it provides training, technical support, and service for the products it sells. The company business model is vertically integrated with strategic design and with manufacturing, distribution, sales, and support centers established around the world in an effort to provide customers a “single integrated source” of supply.</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Over the past few years, competition has inhibited organic growth and contributed to top-line revenue pressures. First, two competitors within the MTaaS market manufactured and sold innovative, pioneering product solutions, which has resulted in Med-I-Mark experiencing a 10% decline in sales over the past 24 months. Second, to meet quarterly earnings projections, the company has reduced its headcount in manufacturing. Third, to conserve cash and improve overall liquidity, the company has cut R&amp;D activities, effectively stalling investment in new or existing products.</a:t>
          </a:r>
        </a:p>
        <a:p>
          <a:r>
            <a:rPr lang="en-US" sz="1100">
              <a:solidFill>
                <a:schemeClr val="dk1"/>
              </a:solidFill>
              <a:effectLst/>
              <a:latin typeface="+mn-lt"/>
              <a:ea typeface="+mn-ea"/>
              <a:cs typeface="+mn-cs"/>
            </a:rPr>
            <a:t>As a result of these issues, the CEO has created a strategic finance team and approached you to evaluate the firm’s most promising investment opportunities and determine the optimal course of action.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company’s investment alternatives include: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Investment A</a:t>
          </a:r>
          <a:r>
            <a:rPr lang="en-US" sz="1100">
              <a:solidFill>
                <a:schemeClr val="dk1"/>
              </a:solidFill>
              <a:effectLst/>
              <a:latin typeface="+mn-lt"/>
              <a:ea typeface="+mn-ea"/>
              <a:cs typeface="+mn-cs"/>
            </a:rPr>
            <a:t> – </a:t>
          </a:r>
          <a:r>
            <a:rPr lang="en-US" sz="1100" b="1">
              <a:solidFill>
                <a:schemeClr val="dk1"/>
              </a:solidFill>
              <a:effectLst/>
              <a:latin typeface="+mn-lt"/>
              <a:ea typeface="+mn-ea"/>
              <a:cs typeface="+mn-cs"/>
            </a:rPr>
            <a:t>Upgrade manufacturing facilities in Germany</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Germany has the smallest of the manufacturing facilities, but serves the largest market of opportunity in the Middle East. The initial investment is $10 million and will result in incremental annual cash flows of $1.4 million per year through year 10.</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Investment B</a:t>
          </a:r>
          <a:r>
            <a:rPr lang="en-US" sz="1100">
              <a:solidFill>
                <a:schemeClr val="dk1"/>
              </a:solidFill>
              <a:effectLst/>
              <a:latin typeface="+mn-lt"/>
              <a:ea typeface="+mn-ea"/>
              <a:cs typeface="+mn-cs"/>
            </a:rPr>
            <a:t> – </a:t>
          </a:r>
          <a:r>
            <a:rPr lang="en-US" sz="1100" b="1">
              <a:solidFill>
                <a:schemeClr val="dk1"/>
              </a:solidFill>
              <a:effectLst/>
              <a:latin typeface="+mn-lt"/>
              <a:ea typeface="+mn-ea"/>
              <a:cs typeface="+mn-cs"/>
            </a:rPr>
            <a:t>Acquire the assets of a competitor in Australia</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company has been exploring the market in Australia for the past 5 years, but has been reluctant to enter an existing market and compete directly with the established leader. The competitor has a 70% share of a highly profitable market. The initial investment is $17 million. In years 1 through 5, incremental cash flows are expected to be $3 million per year. In years 6 through 10, incremental cash flows are expected to be $5 million per year.</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Investment C</a:t>
          </a:r>
          <a:r>
            <a:rPr lang="en-US" sz="1100">
              <a:solidFill>
                <a:schemeClr val="dk1"/>
              </a:solidFill>
              <a:effectLst/>
              <a:latin typeface="+mn-lt"/>
              <a:ea typeface="+mn-ea"/>
              <a:cs typeface="+mn-cs"/>
            </a:rPr>
            <a:t> – </a:t>
          </a:r>
          <a:r>
            <a:rPr lang="en-US" sz="1100" b="1">
              <a:solidFill>
                <a:schemeClr val="dk1"/>
              </a:solidFill>
              <a:effectLst/>
              <a:latin typeface="+mn-lt"/>
              <a:ea typeface="+mn-ea"/>
              <a:cs typeface="+mn-cs"/>
            </a:rPr>
            <a:t>Bring promising new product to market and launch</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firm was in the late stages of development for a new medical device before it sharply reduced its R&amp;D. The product is an implanted drug delivery system that can be programmed to monitor and deliver specified levels of medication using a smartphone. The device is already patented and FDA approved. The company needs to invest in late stage engineering, production, marketing, and distribution. The initial investment is $4.5 million. Incremental cash flows are projected to be $8 million per year. Due to the rapid pace of technological innovation for this type of product, the product will become obsolete at the end of year 5 and there will be no additional cash flows for this investment.</a:t>
          </a:r>
        </a:p>
        <a:p>
          <a:r>
            <a:rPr lang="en-US" sz="1100" b="1">
              <a:solidFill>
                <a:schemeClr val="dk1"/>
              </a:solidFill>
              <a:effectLst/>
              <a:latin typeface="+mn-lt"/>
              <a:ea typeface="+mn-ea"/>
              <a:cs typeface="+mn-cs"/>
            </a:rPr>
            <a:t>Investment D</a:t>
          </a:r>
          <a:r>
            <a:rPr lang="en-US" sz="1100">
              <a:solidFill>
                <a:schemeClr val="dk1"/>
              </a:solidFill>
              <a:effectLst/>
              <a:latin typeface="+mn-lt"/>
              <a:ea typeface="+mn-ea"/>
              <a:cs typeface="+mn-cs"/>
            </a:rPr>
            <a:t> – </a:t>
          </a:r>
          <a:r>
            <a:rPr lang="en-US" sz="1100" b="1">
              <a:solidFill>
                <a:schemeClr val="dk1"/>
              </a:solidFill>
              <a:effectLst/>
              <a:latin typeface="+mn-lt"/>
              <a:ea typeface="+mn-ea"/>
              <a:cs typeface="+mn-cs"/>
            </a:rPr>
            <a:t>Enhance existing productsSt</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company has historically been the market leader in medical devices to treat orthopedic trauma. In the last 24 months, competitors have made significant improvements to their products, making products used to treat fractures stronger, lighter, and less corrosive. In order to retain or reclaim its current market position, the firm will need to invest in current product enhancements. The initial investment is projected to be $3 million. Incremental cash flows are expected to be $600 thousand per year for each of the next 10 years.</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CEO and CFO provide the following company information for your analysis:</a:t>
          </a:r>
        </a:p>
        <a:p>
          <a:pPr lvl="0"/>
          <a:r>
            <a:rPr lang="en-US" sz="1100">
              <a:solidFill>
                <a:schemeClr val="dk1"/>
              </a:solidFill>
              <a:effectLst/>
              <a:latin typeface="+mn-lt"/>
              <a:ea typeface="+mn-ea"/>
              <a:cs typeface="+mn-cs"/>
            </a:rPr>
            <a:t>Bonds may be issued to finance investments A and/or B. The company can issue up to $15 million in bonds (15,000 @ $1,000 face value; company proceeds are 94% of par. Bonds require 6% annual interest payments)</a:t>
          </a:r>
        </a:p>
        <a:p>
          <a:pPr lvl="0"/>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A line of credit is available to finance investments C and/or D. The company has a $10 million line of credit at 8% interest.</a:t>
          </a:r>
        </a:p>
        <a:p>
          <a:pPr lvl="0"/>
          <a:r>
            <a:rPr lang="en-US" sz="1100">
              <a:solidFill>
                <a:schemeClr val="dk1"/>
              </a:solidFill>
              <a:effectLst/>
              <a:latin typeface="+mn-lt"/>
              <a:ea typeface="+mn-ea"/>
              <a:cs typeface="+mn-cs"/>
            </a:rPr>
            <a:t>The company has stock equity (common) already approved and available to issue: 250,000 shares; par value $100 per share. Company anticipates its proceeds will be 82% of par.</a:t>
          </a:r>
        </a:p>
        <a:p>
          <a:pPr lvl="0"/>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The company will accept all qualifying investments (A and/or B, and/or C, and/or D). Qualified investments must exceed stockholders’ required rate of return (14%) and must be readily financed with available bonds, stock, or line of credit. In the event that available bonds, stock, and line of credit are insufficient to fund all investments, the company will prioritize acceptance based on the net present value of the investment.</a:t>
          </a:r>
        </a:p>
        <a:p>
          <a:pPr lvl="0"/>
          <a:r>
            <a:rPr lang="en-US" sz="1100">
              <a:solidFill>
                <a:schemeClr val="dk1"/>
              </a:solidFill>
              <a:effectLst/>
              <a:latin typeface="+mn-lt"/>
              <a:ea typeface="+mn-ea"/>
              <a:cs typeface="+mn-cs"/>
            </a:rPr>
            <a:t>The corporate tax rate is 20%</a:t>
          </a:r>
        </a:p>
        <a:p>
          <a:pPr lvl="0"/>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For ease of analysis, assume incoming cash flows are at year-end. Assume the initial investment is made on the first day of year one.</a:t>
          </a:r>
        </a:p>
        <a:p>
          <a:pPr lvl="0"/>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Assume Investments A and/or B, if accepted, are financed 70% with bonds and 30% with stock</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19050</xdr:colOff>
      <xdr:row>0</xdr:row>
      <xdr:rowOff>19050</xdr:rowOff>
    </xdr:from>
    <xdr:ext cx="1405633" cy="561599"/>
    <xdr:pic>
      <xdr:nvPicPr>
        <xdr:cNvPr id="2" name="Picture 1">
          <a:extLst>
            <a:ext uri="{FF2B5EF4-FFF2-40B4-BE49-F238E27FC236}">
              <a16:creationId xmlns:a16="http://schemas.microsoft.com/office/drawing/2014/main" id="{14B9EFC9-3377-45DD-B690-EF2E675D34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9050" y="19050"/>
          <a:ext cx="1405633" cy="561599"/>
        </a:xfrm>
        <a:prstGeom prst="rect">
          <a:avLst/>
        </a:prstGeom>
      </xdr:spPr>
    </xdr:pic>
    <xdr:clientData/>
  </xdr:one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89DAC-F2F2-42CA-A38B-4B1AB524DC77}">
  <dimension ref="A1:Q64"/>
  <sheetViews>
    <sheetView workbookViewId="0">
      <selection activeCell="G69" sqref="G69"/>
    </sheetView>
  </sheetViews>
  <sheetFormatPr baseColWidth="10" defaultColWidth="8.83203125" defaultRowHeight="15" x14ac:dyDescent="0.2"/>
  <sheetData>
    <row r="1" spans="1:17" x14ac:dyDescent="0.2">
      <c r="A1" s="13"/>
      <c r="B1" s="13"/>
      <c r="C1" s="13"/>
      <c r="D1" s="13"/>
      <c r="E1" s="13"/>
      <c r="F1" s="13"/>
      <c r="G1" s="13"/>
      <c r="H1" s="13"/>
      <c r="I1" s="13"/>
      <c r="J1" s="13"/>
      <c r="K1" s="13"/>
      <c r="L1" s="13"/>
      <c r="M1" s="13"/>
      <c r="N1" s="13"/>
      <c r="O1" s="13"/>
      <c r="P1" s="13"/>
      <c r="Q1" s="13"/>
    </row>
    <row r="2" spans="1:17" x14ac:dyDescent="0.2">
      <c r="A2" s="13"/>
      <c r="B2" s="13"/>
      <c r="C2" s="13"/>
      <c r="D2" s="13"/>
      <c r="E2" s="13"/>
      <c r="F2" s="13"/>
      <c r="G2" s="13"/>
      <c r="H2" s="13"/>
      <c r="I2" s="13"/>
      <c r="J2" s="13"/>
      <c r="K2" s="13"/>
      <c r="L2" s="13"/>
      <c r="M2" s="13"/>
      <c r="N2" s="13"/>
      <c r="O2" s="13"/>
      <c r="P2" s="13"/>
      <c r="Q2" s="13"/>
    </row>
    <row r="3" spans="1:17" x14ac:dyDescent="0.2">
      <c r="A3" s="13"/>
      <c r="B3" s="13"/>
      <c r="C3" s="13"/>
      <c r="D3" s="13"/>
      <c r="E3" s="13"/>
      <c r="F3" s="13"/>
      <c r="G3" s="13"/>
      <c r="H3" s="13"/>
      <c r="I3" s="13"/>
      <c r="J3" s="13"/>
      <c r="K3" s="13"/>
      <c r="L3" s="13"/>
      <c r="M3" s="13"/>
      <c r="N3" s="13"/>
      <c r="O3" s="13"/>
      <c r="P3" s="13"/>
      <c r="Q3" s="13"/>
    </row>
    <row r="4" spans="1:17" x14ac:dyDescent="0.2">
      <c r="A4" s="13"/>
      <c r="B4" s="13"/>
      <c r="C4" s="13"/>
      <c r="D4" s="13"/>
      <c r="E4" s="13"/>
      <c r="F4" s="13"/>
      <c r="G4" s="13"/>
      <c r="H4" s="13"/>
      <c r="I4" s="13"/>
      <c r="J4" s="13"/>
      <c r="K4" s="13"/>
      <c r="L4" s="13"/>
      <c r="M4" s="13"/>
      <c r="N4" s="13"/>
      <c r="O4" s="13"/>
      <c r="P4" s="13"/>
      <c r="Q4" s="13"/>
    </row>
    <row r="5" spans="1:17" x14ac:dyDescent="0.2">
      <c r="A5" s="13"/>
      <c r="B5" s="13"/>
      <c r="C5" s="13"/>
      <c r="D5" s="13"/>
      <c r="E5" s="13"/>
      <c r="F5" s="13"/>
      <c r="G5" s="13"/>
      <c r="H5" s="13"/>
      <c r="I5" s="13"/>
      <c r="J5" s="13"/>
      <c r="K5" s="13"/>
      <c r="L5" s="13"/>
      <c r="M5" s="13"/>
      <c r="N5" s="13"/>
      <c r="O5" s="13"/>
      <c r="P5" s="13"/>
      <c r="Q5" s="13"/>
    </row>
    <row r="6" spans="1:17" x14ac:dyDescent="0.2">
      <c r="A6" s="13"/>
      <c r="B6" s="13"/>
      <c r="C6" s="13"/>
      <c r="D6" s="13"/>
      <c r="E6" s="13"/>
      <c r="F6" s="13"/>
      <c r="G6" s="13"/>
      <c r="H6" s="13"/>
      <c r="I6" s="13"/>
      <c r="J6" s="13"/>
      <c r="K6" s="13"/>
      <c r="L6" s="13"/>
      <c r="M6" s="13"/>
      <c r="N6" s="13"/>
      <c r="O6" s="13"/>
      <c r="P6" s="13"/>
      <c r="Q6" s="13"/>
    </row>
    <row r="7" spans="1:17" x14ac:dyDescent="0.2">
      <c r="A7" s="13"/>
      <c r="B7" s="13"/>
      <c r="C7" s="13"/>
      <c r="D7" s="13"/>
      <c r="E7" s="13"/>
      <c r="F7" s="13"/>
      <c r="G7" s="13"/>
      <c r="H7" s="13"/>
      <c r="I7" s="13"/>
      <c r="J7" s="13"/>
      <c r="K7" s="13"/>
      <c r="L7" s="13"/>
      <c r="M7" s="13"/>
      <c r="N7" s="13"/>
      <c r="O7" s="13"/>
      <c r="P7" s="13"/>
      <c r="Q7" s="13"/>
    </row>
    <row r="8" spans="1:17" x14ac:dyDescent="0.2">
      <c r="A8" s="13"/>
      <c r="B8" s="13"/>
      <c r="C8" s="13"/>
      <c r="D8" s="13"/>
      <c r="E8" s="13"/>
      <c r="F8" s="13"/>
      <c r="G8" s="13"/>
      <c r="H8" s="13"/>
      <c r="I8" s="13"/>
      <c r="J8" s="13"/>
      <c r="K8" s="13"/>
      <c r="L8" s="13"/>
      <c r="M8" s="13"/>
      <c r="N8" s="13"/>
      <c r="O8" s="13"/>
      <c r="P8" s="13"/>
      <c r="Q8" s="13"/>
    </row>
    <row r="9" spans="1:17" x14ac:dyDescent="0.2">
      <c r="A9" s="13"/>
      <c r="B9" s="13"/>
      <c r="C9" s="13"/>
      <c r="D9" s="13"/>
      <c r="E9" s="13"/>
      <c r="F9" s="13"/>
      <c r="G9" s="13"/>
      <c r="H9" s="13"/>
      <c r="I9" s="13"/>
      <c r="J9" s="13"/>
      <c r="K9" s="13"/>
      <c r="L9" s="13"/>
      <c r="M9" s="13"/>
      <c r="N9" s="13"/>
      <c r="O9" s="13"/>
      <c r="P9" s="13"/>
      <c r="Q9" s="13"/>
    </row>
    <row r="10" spans="1:17" x14ac:dyDescent="0.2">
      <c r="A10" s="13"/>
      <c r="B10" s="13"/>
      <c r="C10" s="13"/>
      <c r="D10" s="13"/>
      <c r="E10" s="13"/>
      <c r="F10" s="13"/>
      <c r="G10" s="13"/>
      <c r="H10" s="13"/>
      <c r="I10" s="13"/>
      <c r="J10" s="13"/>
      <c r="K10" s="13"/>
      <c r="L10" s="13"/>
      <c r="M10" s="13"/>
      <c r="N10" s="13"/>
      <c r="O10" s="13"/>
      <c r="P10" s="13"/>
      <c r="Q10" s="13"/>
    </row>
    <row r="11" spans="1:17" x14ac:dyDescent="0.2">
      <c r="A11" s="13"/>
      <c r="B11" s="13"/>
      <c r="C11" s="13"/>
      <c r="D11" s="13"/>
      <c r="E11" s="13"/>
      <c r="F11" s="13"/>
      <c r="G11" s="13"/>
      <c r="H11" s="13"/>
      <c r="I11" s="13"/>
      <c r="J11" s="13"/>
      <c r="K11" s="13"/>
      <c r="L11" s="13"/>
      <c r="M11" s="13"/>
      <c r="N11" s="13"/>
      <c r="O11" s="13"/>
      <c r="P11" s="13"/>
      <c r="Q11" s="13"/>
    </row>
    <row r="12" spans="1:17" x14ac:dyDescent="0.2">
      <c r="A12" s="13"/>
      <c r="B12" s="13"/>
      <c r="C12" s="13"/>
      <c r="D12" s="13"/>
      <c r="E12" s="13"/>
      <c r="F12" s="13"/>
      <c r="G12" s="13"/>
      <c r="H12" s="13"/>
      <c r="I12" s="13"/>
      <c r="J12" s="13"/>
      <c r="K12" s="13"/>
      <c r="L12" s="13"/>
      <c r="M12" s="13"/>
      <c r="N12" s="13"/>
      <c r="O12" s="13"/>
      <c r="P12" s="13"/>
      <c r="Q12" s="13"/>
    </row>
    <row r="13" spans="1:17" x14ac:dyDescent="0.2">
      <c r="A13" s="13"/>
      <c r="B13" s="13"/>
      <c r="C13" s="13"/>
      <c r="D13" s="13"/>
      <c r="E13" s="13"/>
      <c r="F13" s="13"/>
      <c r="G13" s="13"/>
      <c r="H13" s="13"/>
      <c r="I13" s="13"/>
      <c r="J13" s="13"/>
      <c r="K13" s="13"/>
      <c r="L13" s="13"/>
      <c r="M13" s="13"/>
      <c r="N13" s="13"/>
      <c r="O13" s="13"/>
      <c r="P13" s="13"/>
      <c r="Q13" s="13"/>
    </row>
    <row r="14" spans="1:17" x14ac:dyDescent="0.2">
      <c r="A14" s="13"/>
      <c r="B14" s="13"/>
      <c r="C14" s="13"/>
      <c r="D14" s="13"/>
      <c r="E14" s="13"/>
      <c r="F14" s="13"/>
      <c r="G14" s="13"/>
      <c r="H14" s="13"/>
      <c r="I14" s="13"/>
      <c r="J14" s="13"/>
      <c r="K14" s="13"/>
      <c r="L14" s="13"/>
      <c r="M14" s="13"/>
      <c r="N14" s="13"/>
      <c r="O14" s="13"/>
      <c r="P14" s="13"/>
      <c r="Q14" s="13"/>
    </row>
    <row r="15" spans="1:17" x14ac:dyDescent="0.2">
      <c r="A15" s="13"/>
      <c r="B15" s="13"/>
      <c r="C15" s="13"/>
      <c r="D15" s="13"/>
      <c r="E15" s="13"/>
      <c r="F15" s="13"/>
      <c r="G15" s="13"/>
      <c r="H15" s="13"/>
      <c r="I15" s="13"/>
      <c r="J15" s="13"/>
      <c r="K15" s="13"/>
      <c r="L15" s="13"/>
      <c r="M15" s="13"/>
      <c r="N15" s="13"/>
      <c r="O15" s="13"/>
      <c r="P15" s="13"/>
      <c r="Q15" s="13"/>
    </row>
    <row r="16" spans="1:17" x14ac:dyDescent="0.2">
      <c r="A16" s="13"/>
      <c r="B16" s="13"/>
      <c r="C16" s="13"/>
      <c r="D16" s="13"/>
      <c r="E16" s="13"/>
      <c r="F16" s="13"/>
      <c r="G16" s="13"/>
      <c r="H16" s="13"/>
      <c r="I16" s="13"/>
      <c r="J16" s="13"/>
      <c r="K16" s="13"/>
      <c r="L16" s="13"/>
      <c r="M16" s="13"/>
      <c r="N16" s="13"/>
      <c r="O16" s="13"/>
      <c r="P16" s="13"/>
      <c r="Q16" s="13"/>
    </row>
    <row r="17" spans="1:17" x14ac:dyDescent="0.2">
      <c r="A17" s="13"/>
      <c r="B17" s="13"/>
      <c r="C17" s="13"/>
      <c r="D17" s="13"/>
      <c r="E17" s="13"/>
      <c r="F17" s="13"/>
      <c r="G17" s="13"/>
      <c r="H17" s="13"/>
      <c r="I17" s="13"/>
      <c r="J17" s="13"/>
      <c r="K17" s="13"/>
      <c r="L17" s="13"/>
      <c r="M17" s="13"/>
      <c r="N17" s="13"/>
      <c r="O17" s="13"/>
      <c r="P17" s="13"/>
      <c r="Q17" s="13"/>
    </row>
    <row r="18" spans="1:17" x14ac:dyDescent="0.2">
      <c r="A18" s="13"/>
      <c r="B18" s="13"/>
      <c r="C18" s="13"/>
      <c r="D18" s="13"/>
      <c r="E18" s="13"/>
      <c r="F18" s="13"/>
      <c r="G18" s="13"/>
      <c r="H18" s="13"/>
      <c r="I18" s="13"/>
      <c r="J18" s="13"/>
      <c r="K18" s="13"/>
      <c r="L18" s="13"/>
      <c r="M18" s="13"/>
      <c r="N18" s="13"/>
      <c r="O18" s="13"/>
      <c r="P18" s="13"/>
      <c r="Q18" s="13"/>
    </row>
    <row r="19" spans="1:17" x14ac:dyDescent="0.2">
      <c r="A19" s="13"/>
      <c r="B19" s="13"/>
      <c r="C19" s="13"/>
      <c r="D19" s="13"/>
      <c r="E19" s="13"/>
      <c r="F19" s="13"/>
      <c r="G19" s="13"/>
      <c r="H19" s="13"/>
      <c r="I19" s="13"/>
      <c r="J19" s="13"/>
      <c r="K19" s="13"/>
      <c r="L19" s="13"/>
      <c r="M19" s="13"/>
      <c r="N19" s="13"/>
      <c r="O19" s="13"/>
      <c r="P19" s="13"/>
      <c r="Q19" s="13"/>
    </row>
    <row r="20" spans="1:17" x14ac:dyDescent="0.2">
      <c r="A20" s="13"/>
      <c r="B20" s="13"/>
      <c r="C20" s="13"/>
      <c r="D20" s="13"/>
      <c r="E20" s="13"/>
      <c r="F20" s="13"/>
      <c r="G20" s="13"/>
      <c r="H20" s="13"/>
      <c r="I20" s="13"/>
      <c r="J20" s="13"/>
      <c r="K20" s="13"/>
      <c r="L20" s="13"/>
      <c r="M20" s="13"/>
      <c r="N20" s="13"/>
      <c r="O20" s="13"/>
      <c r="P20" s="13"/>
      <c r="Q20" s="13"/>
    </row>
    <row r="21" spans="1:17" x14ac:dyDescent="0.2">
      <c r="A21" s="13"/>
      <c r="B21" s="13"/>
      <c r="C21" s="13"/>
      <c r="D21" s="13"/>
      <c r="E21" s="13"/>
      <c r="F21" s="13"/>
      <c r="G21" s="13"/>
      <c r="H21" s="13"/>
      <c r="I21" s="13"/>
      <c r="J21" s="13"/>
      <c r="K21" s="13"/>
      <c r="L21" s="13"/>
      <c r="M21" s="13"/>
      <c r="N21" s="13"/>
      <c r="O21" s="13"/>
      <c r="P21" s="13"/>
      <c r="Q21" s="13"/>
    </row>
    <row r="22" spans="1:17" x14ac:dyDescent="0.2">
      <c r="A22" s="13"/>
      <c r="B22" s="13"/>
      <c r="C22" s="13"/>
      <c r="D22" s="13"/>
      <c r="E22" s="13"/>
      <c r="F22" s="13"/>
      <c r="G22" s="13"/>
      <c r="H22" s="13"/>
      <c r="I22" s="13"/>
      <c r="J22" s="13"/>
      <c r="K22" s="13"/>
      <c r="L22" s="13"/>
      <c r="M22" s="13"/>
      <c r="N22" s="13"/>
      <c r="O22" s="13"/>
      <c r="P22" s="13"/>
      <c r="Q22" s="13"/>
    </row>
    <row r="23" spans="1:17" x14ac:dyDescent="0.2">
      <c r="A23" s="13"/>
      <c r="B23" s="13"/>
      <c r="C23" s="13"/>
      <c r="D23" s="13"/>
      <c r="E23" s="13"/>
      <c r="F23" s="13"/>
      <c r="G23" s="13"/>
      <c r="H23" s="13"/>
      <c r="I23" s="13"/>
      <c r="J23" s="13"/>
      <c r="K23" s="13"/>
      <c r="L23" s="13"/>
      <c r="M23" s="13"/>
      <c r="N23" s="13"/>
      <c r="O23" s="13"/>
      <c r="P23" s="13"/>
      <c r="Q23" s="13"/>
    </row>
    <row r="24" spans="1:17" x14ac:dyDescent="0.2">
      <c r="A24" s="13"/>
      <c r="B24" s="13"/>
      <c r="C24" s="13"/>
      <c r="D24" s="13"/>
      <c r="E24" s="13"/>
      <c r="F24" s="13"/>
      <c r="G24" s="13"/>
      <c r="H24" s="13"/>
      <c r="I24" s="13"/>
      <c r="J24" s="13"/>
      <c r="K24" s="13"/>
      <c r="L24" s="13"/>
      <c r="M24" s="13"/>
      <c r="N24" s="13"/>
      <c r="O24" s="13"/>
      <c r="P24" s="13"/>
      <c r="Q24" s="13"/>
    </row>
    <row r="25" spans="1:17" x14ac:dyDescent="0.2">
      <c r="A25" s="13"/>
      <c r="B25" s="13"/>
      <c r="C25" s="13"/>
      <c r="D25" s="13"/>
      <c r="E25" s="13"/>
      <c r="F25" s="13"/>
      <c r="G25" s="13"/>
      <c r="H25" s="13"/>
      <c r="I25" s="13"/>
      <c r="J25" s="13"/>
      <c r="K25" s="13"/>
      <c r="L25" s="13"/>
      <c r="M25" s="13"/>
      <c r="N25" s="13"/>
      <c r="O25" s="13"/>
      <c r="P25" s="13"/>
      <c r="Q25" s="13"/>
    </row>
    <row r="26" spans="1:17" x14ac:dyDescent="0.2">
      <c r="A26" s="13"/>
      <c r="B26" s="13"/>
      <c r="C26" s="13"/>
      <c r="D26" s="13"/>
      <c r="E26" s="13"/>
      <c r="F26" s="13"/>
      <c r="G26" s="13"/>
      <c r="H26" s="13"/>
      <c r="I26" s="13"/>
      <c r="J26" s="13"/>
      <c r="K26" s="13"/>
      <c r="L26" s="13"/>
      <c r="M26" s="13"/>
      <c r="N26" s="13"/>
      <c r="O26" s="13"/>
      <c r="P26" s="13"/>
      <c r="Q26" s="13"/>
    </row>
    <row r="27" spans="1:17" x14ac:dyDescent="0.2">
      <c r="A27" s="13"/>
      <c r="B27" s="13"/>
      <c r="C27" s="13"/>
      <c r="D27" s="13"/>
      <c r="E27" s="13"/>
      <c r="F27" s="13"/>
      <c r="G27" s="13"/>
      <c r="H27" s="13"/>
      <c r="I27" s="13"/>
      <c r="J27" s="13"/>
      <c r="K27" s="13"/>
      <c r="L27" s="13"/>
      <c r="M27" s="13"/>
      <c r="N27" s="13"/>
      <c r="O27" s="13"/>
      <c r="P27" s="13"/>
      <c r="Q27" s="13"/>
    </row>
    <row r="28" spans="1:17" x14ac:dyDescent="0.2">
      <c r="A28" s="13"/>
      <c r="B28" s="13"/>
      <c r="C28" s="13"/>
      <c r="D28" s="13"/>
      <c r="E28" s="13"/>
      <c r="F28" s="13"/>
      <c r="G28" s="13"/>
      <c r="H28" s="13"/>
      <c r="I28" s="13"/>
      <c r="J28" s="13"/>
      <c r="K28" s="13"/>
      <c r="L28" s="13"/>
      <c r="M28" s="13"/>
      <c r="N28" s="13"/>
      <c r="O28" s="13"/>
      <c r="P28" s="13"/>
      <c r="Q28" s="13"/>
    </row>
    <row r="29" spans="1:17" x14ac:dyDescent="0.2">
      <c r="A29" s="13"/>
      <c r="B29" s="13"/>
      <c r="C29" s="13"/>
      <c r="D29" s="13"/>
      <c r="E29" s="13"/>
      <c r="F29" s="13"/>
      <c r="G29" s="13"/>
      <c r="H29" s="13"/>
      <c r="I29" s="13"/>
      <c r="J29" s="13"/>
      <c r="K29" s="13"/>
      <c r="L29" s="13"/>
      <c r="M29" s="13"/>
      <c r="N29" s="13"/>
      <c r="O29" s="13"/>
      <c r="P29" s="13"/>
      <c r="Q29" s="13"/>
    </row>
    <row r="30" spans="1:17" x14ac:dyDescent="0.2">
      <c r="A30" s="13"/>
      <c r="B30" s="13"/>
      <c r="C30" s="13"/>
      <c r="D30" s="13"/>
      <c r="E30" s="13"/>
      <c r="F30" s="13"/>
      <c r="G30" s="13"/>
      <c r="H30" s="13"/>
      <c r="I30" s="13"/>
      <c r="J30" s="13"/>
      <c r="K30" s="13"/>
      <c r="L30" s="13"/>
      <c r="M30" s="13"/>
      <c r="N30" s="13"/>
      <c r="O30" s="13"/>
      <c r="P30" s="13"/>
      <c r="Q30" s="13"/>
    </row>
    <row r="31" spans="1:17" x14ac:dyDescent="0.2">
      <c r="A31" s="13"/>
      <c r="B31" s="13"/>
      <c r="C31" s="13"/>
      <c r="D31" s="13"/>
      <c r="E31" s="13"/>
      <c r="F31" s="13"/>
      <c r="G31" s="13"/>
      <c r="H31" s="13"/>
      <c r="I31" s="13"/>
      <c r="J31" s="13"/>
      <c r="K31" s="13"/>
      <c r="L31" s="13"/>
      <c r="M31" s="13"/>
      <c r="N31" s="13"/>
      <c r="O31" s="13"/>
      <c r="P31" s="13"/>
      <c r="Q31" s="13"/>
    </row>
    <row r="32" spans="1:17" x14ac:dyDescent="0.2">
      <c r="A32" s="13"/>
      <c r="B32" s="13"/>
      <c r="C32" s="13"/>
      <c r="D32" s="13"/>
      <c r="E32" s="13"/>
      <c r="F32" s="13"/>
      <c r="G32" s="13"/>
      <c r="H32" s="13"/>
      <c r="I32" s="13"/>
      <c r="J32" s="13"/>
      <c r="K32" s="13"/>
      <c r="L32" s="13"/>
      <c r="M32" s="13"/>
      <c r="N32" s="13"/>
      <c r="O32" s="13"/>
      <c r="P32" s="13"/>
      <c r="Q32" s="13"/>
    </row>
    <row r="33" spans="1:17" x14ac:dyDescent="0.2">
      <c r="A33" s="13"/>
      <c r="B33" s="13"/>
      <c r="C33" s="13"/>
      <c r="D33" s="13"/>
      <c r="E33" s="13"/>
      <c r="F33" s="13"/>
      <c r="G33" s="13"/>
      <c r="H33" s="13"/>
      <c r="I33" s="13"/>
      <c r="J33" s="13"/>
      <c r="K33" s="13"/>
      <c r="L33" s="13"/>
      <c r="M33" s="13"/>
      <c r="N33" s="13"/>
      <c r="O33" s="13"/>
      <c r="P33" s="13"/>
      <c r="Q33" s="13"/>
    </row>
    <row r="34" spans="1:17" x14ac:dyDescent="0.2">
      <c r="A34" s="13"/>
      <c r="B34" s="13"/>
      <c r="C34" s="13"/>
      <c r="D34" s="13"/>
      <c r="E34" s="13"/>
      <c r="F34" s="13"/>
      <c r="G34" s="13"/>
      <c r="H34" s="13"/>
      <c r="I34" s="13"/>
      <c r="J34" s="13"/>
      <c r="K34" s="13"/>
      <c r="L34" s="13"/>
      <c r="M34" s="13"/>
      <c r="N34" s="13"/>
      <c r="O34" s="13"/>
      <c r="P34" s="13"/>
      <c r="Q34" s="13"/>
    </row>
    <row r="35" spans="1:17" x14ac:dyDescent="0.2">
      <c r="A35" s="13"/>
      <c r="B35" s="13"/>
      <c r="C35" s="13"/>
      <c r="D35" s="13"/>
      <c r="E35" s="13"/>
      <c r="F35" s="13"/>
      <c r="G35" s="13"/>
      <c r="H35" s="13"/>
      <c r="I35" s="13"/>
      <c r="J35" s="13"/>
      <c r="K35" s="13"/>
      <c r="L35" s="13"/>
      <c r="M35" s="13"/>
      <c r="N35" s="13"/>
      <c r="O35" s="13"/>
      <c r="P35" s="13"/>
      <c r="Q35" s="13"/>
    </row>
    <row r="36" spans="1:17" x14ac:dyDescent="0.2">
      <c r="A36" s="13"/>
      <c r="B36" s="13"/>
      <c r="C36" s="13"/>
      <c r="D36" s="13"/>
      <c r="E36" s="13"/>
      <c r="F36" s="13"/>
      <c r="G36" s="13"/>
      <c r="H36" s="13"/>
      <c r="I36" s="13"/>
      <c r="J36" s="13"/>
      <c r="K36" s="13"/>
      <c r="L36" s="13"/>
      <c r="M36" s="13"/>
      <c r="N36" s="13"/>
      <c r="O36" s="13"/>
      <c r="P36" s="13"/>
      <c r="Q36" s="13"/>
    </row>
    <row r="37" spans="1:17" x14ac:dyDescent="0.2">
      <c r="A37" s="13"/>
      <c r="B37" s="13"/>
      <c r="C37" s="13"/>
      <c r="D37" s="13"/>
      <c r="E37" s="13"/>
      <c r="F37" s="13"/>
      <c r="G37" s="13"/>
      <c r="H37" s="13"/>
      <c r="I37" s="13"/>
      <c r="J37" s="13"/>
      <c r="K37" s="13"/>
      <c r="L37" s="13"/>
      <c r="M37" s="13"/>
      <c r="N37" s="13"/>
      <c r="O37" s="13"/>
      <c r="P37" s="13"/>
      <c r="Q37" s="13"/>
    </row>
    <row r="38" spans="1:17" x14ac:dyDescent="0.2">
      <c r="A38" s="13"/>
      <c r="B38" s="13"/>
      <c r="C38" s="13"/>
      <c r="D38" s="13"/>
      <c r="E38" s="13"/>
      <c r="F38" s="13"/>
      <c r="G38" s="13"/>
      <c r="H38" s="13"/>
      <c r="I38" s="13"/>
      <c r="J38" s="13"/>
      <c r="K38" s="13"/>
      <c r="L38" s="13"/>
      <c r="M38" s="13"/>
      <c r="N38" s="13"/>
      <c r="O38" s="13"/>
      <c r="P38" s="13"/>
      <c r="Q38" s="13"/>
    </row>
    <row r="39" spans="1:17" x14ac:dyDescent="0.2">
      <c r="A39" s="13"/>
      <c r="B39" s="13"/>
      <c r="C39" s="13"/>
      <c r="D39" s="13"/>
      <c r="E39" s="13"/>
      <c r="F39" s="13"/>
      <c r="G39" s="13"/>
      <c r="H39" s="13"/>
      <c r="I39" s="13"/>
      <c r="J39" s="13"/>
      <c r="K39" s="13"/>
      <c r="L39" s="13"/>
      <c r="M39" s="13"/>
      <c r="N39" s="13"/>
      <c r="O39" s="13"/>
      <c r="P39" s="13"/>
      <c r="Q39" s="13"/>
    </row>
    <row r="40" spans="1:17" x14ac:dyDescent="0.2">
      <c r="A40" s="13"/>
      <c r="B40" s="13"/>
      <c r="C40" s="13"/>
      <c r="D40" s="13"/>
      <c r="E40" s="13"/>
      <c r="F40" s="13"/>
      <c r="G40" s="13"/>
      <c r="H40" s="13"/>
      <c r="I40" s="13"/>
      <c r="J40" s="13"/>
      <c r="K40" s="13"/>
      <c r="L40" s="13"/>
      <c r="M40" s="13"/>
      <c r="N40" s="13"/>
      <c r="O40" s="13"/>
      <c r="P40" s="13"/>
      <c r="Q40" s="13"/>
    </row>
    <row r="41" spans="1:17" x14ac:dyDescent="0.2">
      <c r="A41" s="13"/>
      <c r="B41" s="13"/>
      <c r="C41" s="13"/>
      <c r="D41" s="13"/>
      <c r="E41" s="13"/>
      <c r="F41" s="13"/>
      <c r="G41" s="13"/>
      <c r="H41" s="13"/>
      <c r="I41" s="13"/>
      <c r="J41" s="13"/>
      <c r="K41" s="13"/>
      <c r="L41" s="13"/>
      <c r="M41" s="13"/>
      <c r="N41" s="13"/>
      <c r="O41" s="13"/>
      <c r="P41" s="13"/>
      <c r="Q41" s="13"/>
    </row>
    <row r="42" spans="1:17" x14ac:dyDescent="0.2">
      <c r="A42" s="13"/>
      <c r="B42" s="13"/>
      <c r="C42" s="13"/>
      <c r="D42" s="13"/>
      <c r="E42" s="13"/>
      <c r="F42" s="13"/>
      <c r="G42" s="13"/>
      <c r="H42" s="13"/>
      <c r="I42" s="13"/>
      <c r="J42" s="13"/>
      <c r="K42" s="13"/>
      <c r="L42" s="13"/>
      <c r="M42" s="13"/>
      <c r="N42" s="13"/>
      <c r="O42" s="13"/>
      <c r="P42" s="13"/>
      <c r="Q42" s="13"/>
    </row>
    <row r="43" spans="1:17" x14ac:dyDescent="0.2">
      <c r="A43" s="13"/>
      <c r="B43" s="13"/>
      <c r="C43" s="13"/>
      <c r="D43" s="13"/>
      <c r="E43" s="13"/>
      <c r="F43" s="13"/>
      <c r="G43" s="13"/>
      <c r="H43" s="13"/>
      <c r="I43" s="13"/>
      <c r="J43" s="13"/>
      <c r="K43" s="13"/>
      <c r="L43" s="13"/>
      <c r="M43" s="13"/>
      <c r="N43" s="13"/>
      <c r="O43" s="13"/>
      <c r="P43" s="13"/>
      <c r="Q43" s="13"/>
    </row>
    <row r="44" spans="1:17" x14ac:dyDescent="0.2">
      <c r="A44" s="13"/>
      <c r="B44" s="13"/>
      <c r="C44" s="13"/>
      <c r="D44" s="13"/>
      <c r="E44" s="13"/>
      <c r="F44" s="13"/>
      <c r="G44" s="13"/>
      <c r="H44" s="13"/>
      <c r="I44" s="13"/>
      <c r="J44" s="13"/>
      <c r="K44" s="13"/>
      <c r="L44" s="13"/>
      <c r="M44" s="13"/>
      <c r="N44" s="13"/>
      <c r="O44" s="13"/>
      <c r="P44" s="13"/>
      <c r="Q44" s="13"/>
    </row>
    <row r="45" spans="1:17" x14ac:dyDescent="0.2">
      <c r="A45" s="13"/>
      <c r="B45" s="13"/>
      <c r="C45" s="13"/>
      <c r="D45" s="13"/>
      <c r="E45" s="13"/>
      <c r="F45" s="13"/>
      <c r="G45" s="13"/>
      <c r="H45" s="13"/>
      <c r="I45" s="13"/>
      <c r="J45" s="13"/>
      <c r="K45" s="13"/>
      <c r="L45" s="13"/>
      <c r="M45" s="13"/>
      <c r="N45" s="13"/>
      <c r="O45" s="13"/>
      <c r="P45" s="13"/>
      <c r="Q45" s="13"/>
    </row>
    <row r="46" spans="1:17" x14ac:dyDescent="0.2">
      <c r="A46" s="13"/>
      <c r="B46" s="13"/>
      <c r="C46" s="13"/>
      <c r="D46" s="13"/>
      <c r="E46" s="13"/>
      <c r="F46" s="13"/>
      <c r="G46" s="13"/>
      <c r="H46" s="13"/>
      <c r="I46" s="13"/>
      <c r="J46" s="13"/>
      <c r="K46" s="13"/>
      <c r="L46" s="13"/>
      <c r="M46" s="13"/>
      <c r="N46" s="13"/>
      <c r="O46" s="13"/>
      <c r="P46" s="13"/>
      <c r="Q46" s="13"/>
    </row>
    <row r="47" spans="1:17" x14ac:dyDescent="0.2">
      <c r="A47" s="13"/>
      <c r="B47" s="13"/>
      <c r="C47" s="13"/>
      <c r="D47" s="13"/>
      <c r="E47" s="13"/>
      <c r="F47" s="13"/>
      <c r="G47" s="13"/>
      <c r="H47" s="13"/>
      <c r="I47" s="13"/>
      <c r="J47" s="13"/>
      <c r="K47" s="13"/>
      <c r="L47" s="13"/>
      <c r="M47" s="13"/>
      <c r="N47" s="13"/>
      <c r="O47" s="13"/>
      <c r="P47" s="13"/>
      <c r="Q47" s="13"/>
    </row>
    <row r="48" spans="1:17" x14ac:dyDescent="0.2">
      <c r="A48" s="13"/>
      <c r="B48" s="13"/>
      <c r="C48" s="13"/>
      <c r="D48" s="13"/>
      <c r="E48" s="13"/>
      <c r="F48" s="13"/>
      <c r="G48" s="13"/>
      <c r="H48" s="13"/>
      <c r="I48" s="13"/>
      <c r="J48" s="13"/>
      <c r="K48" s="13"/>
      <c r="L48" s="13"/>
      <c r="M48" s="13"/>
      <c r="N48" s="13"/>
      <c r="O48" s="13"/>
      <c r="P48" s="13"/>
      <c r="Q48" s="13"/>
    </row>
    <row r="49" spans="1:17" x14ac:dyDescent="0.2">
      <c r="A49" s="13"/>
      <c r="B49" s="13"/>
      <c r="C49" s="13"/>
      <c r="D49" s="13"/>
      <c r="E49" s="13"/>
      <c r="F49" s="13"/>
      <c r="G49" s="13"/>
      <c r="H49" s="13"/>
      <c r="I49" s="13"/>
      <c r="J49" s="13"/>
      <c r="K49" s="13"/>
      <c r="L49" s="13"/>
      <c r="M49" s="13"/>
      <c r="N49" s="13"/>
      <c r="O49" s="13"/>
      <c r="P49" s="13"/>
      <c r="Q49" s="13"/>
    </row>
    <row r="50" spans="1:17" x14ac:dyDescent="0.2">
      <c r="A50" s="13"/>
      <c r="B50" s="13"/>
      <c r="C50" s="13"/>
      <c r="D50" s="13"/>
      <c r="E50" s="13"/>
      <c r="F50" s="13"/>
      <c r="G50" s="13"/>
      <c r="H50" s="13"/>
      <c r="I50" s="13"/>
      <c r="J50" s="13"/>
      <c r="K50" s="13"/>
      <c r="L50" s="13"/>
      <c r="M50" s="13"/>
      <c r="N50" s="13"/>
      <c r="O50" s="13"/>
      <c r="P50" s="13"/>
      <c r="Q50" s="13"/>
    </row>
    <row r="51" spans="1:17" x14ac:dyDescent="0.2">
      <c r="A51" s="13"/>
      <c r="B51" s="13"/>
      <c r="C51" s="13"/>
      <c r="D51" s="13"/>
      <c r="E51" s="13"/>
      <c r="F51" s="13"/>
      <c r="G51" s="13"/>
      <c r="H51" s="13"/>
      <c r="I51" s="13"/>
      <c r="J51" s="13"/>
      <c r="K51" s="13"/>
      <c r="L51" s="13"/>
      <c r="M51" s="13"/>
      <c r="N51" s="13"/>
      <c r="O51" s="13"/>
      <c r="P51" s="13"/>
      <c r="Q51" s="13"/>
    </row>
    <row r="52" spans="1:17" x14ac:dyDescent="0.2">
      <c r="A52" s="13"/>
      <c r="B52" s="13"/>
      <c r="C52" s="13"/>
      <c r="D52" s="13"/>
      <c r="E52" s="13"/>
      <c r="F52" s="13"/>
      <c r="G52" s="13"/>
      <c r="H52" s="13"/>
      <c r="I52" s="13"/>
      <c r="J52" s="13"/>
      <c r="K52" s="13"/>
      <c r="L52" s="13"/>
      <c r="M52" s="13"/>
      <c r="N52" s="13"/>
      <c r="O52" s="13"/>
      <c r="P52" s="13"/>
      <c r="Q52" s="13"/>
    </row>
    <row r="53" spans="1:17" x14ac:dyDescent="0.2">
      <c r="A53" s="13"/>
      <c r="B53" s="13"/>
      <c r="C53" s="13"/>
      <c r="D53" s="13"/>
      <c r="E53" s="13"/>
      <c r="F53" s="13"/>
      <c r="G53" s="13"/>
      <c r="H53" s="13"/>
      <c r="I53" s="13"/>
      <c r="J53" s="13"/>
      <c r="K53" s="13"/>
      <c r="L53" s="13"/>
      <c r="M53" s="13"/>
      <c r="N53" s="13"/>
      <c r="O53" s="13"/>
      <c r="P53" s="13"/>
      <c r="Q53" s="13"/>
    </row>
    <row r="54" spans="1:17" x14ac:dyDescent="0.2">
      <c r="A54" s="13"/>
      <c r="B54" s="13"/>
      <c r="C54" s="13"/>
      <c r="D54" s="13"/>
      <c r="E54" s="13"/>
      <c r="F54" s="13"/>
      <c r="G54" s="13"/>
      <c r="H54" s="13"/>
      <c r="I54" s="13"/>
      <c r="J54" s="13"/>
      <c r="K54" s="13"/>
      <c r="L54" s="13"/>
      <c r="M54" s="13"/>
      <c r="N54" s="13"/>
      <c r="O54" s="13"/>
      <c r="P54" s="13"/>
      <c r="Q54" s="13"/>
    </row>
    <row r="55" spans="1:17" x14ac:dyDescent="0.2">
      <c r="A55" s="13"/>
      <c r="B55" s="13"/>
      <c r="C55" s="13"/>
      <c r="D55" s="13"/>
      <c r="E55" s="13"/>
      <c r="F55" s="13"/>
      <c r="G55" s="13"/>
      <c r="H55" s="13"/>
      <c r="I55" s="13"/>
      <c r="J55" s="13"/>
      <c r="K55" s="13"/>
      <c r="L55" s="13"/>
      <c r="M55" s="13"/>
      <c r="N55" s="13"/>
      <c r="O55" s="13"/>
      <c r="P55" s="13"/>
      <c r="Q55" s="13"/>
    </row>
    <row r="56" spans="1:17" x14ac:dyDescent="0.2">
      <c r="A56" s="13"/>
      <c r="B56" s="13"/>
      <c r="C56" s="13"/>
      <c r="D56" s="13"/>
      <c r="E56" s="13"/>
      <c r="F56" s="13"/>
      <c r="G56" s="13"/>
      <c r="H56" s="13"/>
      <c r="I56" s="13"/>
      <c r="J56" s="13"/>
      <c r="K56" s="13"/>
      <c r="L56" s="13"/>
      <c r="M56" s="13"/>
      <c r="N56" s="13"/>
      <c r="O56" s="13"/>
      <c r="P56" s="13"/>
      <c r="Q56" s="13"/>
    </row>
    <row r="57" spans="1:17" x14ac:dyDescent="0.2">
      <c r="A57" s="13"/>
      <c r="B57" s="13"/>
      <c r="C57" s="13"/>
      <c r="D57" s="13"/>
      <c r="E57" s="13"/>
      <c r="F57" s="13"/>
      <c r="G57" s="13"/>
      <c r="H57" s="13"/>
      <c r="I57" s="13"/>
      <c r="J57" s="13"/>
      <c r="K57" s="13"/>
      <c r="L57" s="13"/>
      <c r="M57" s="13"/>
      <c r="N57" s="13"/>
      <c r="O57" s="13"/>
      <c r="P57" s="13"/>
      <c r="Q57" s="13"/>
    </row>
    <row r="58" spans="1:17" x14ac:dyDescent="0.2">
      <c r="A58" s="13"/>
      <c r="B58" s="13"/>
      <c r="C58" s="13"/>
      <c r="D58" s="13"/>
      <c r="E58" s="13"/>
      <c r="F58" s="13"/>
      <c r="G58" s="13"/>
      <c r="H58" s="13"/>
      <c r="I58" s="13"/>
      <c r="J58" s="13"/>
      <c r="K58" s="13"/>
      <c r="L58" s="13"/>
      <c r="M58" s="13"/>
      <c r="N58" s="13"/>
      <c r="O58" s="13"/>
      <c r="P58" s="13"/>
      <c r="Q58" s="13"/>
    </row>
    <row r="59" spans="1:17" x14ac:dyDescent="0.2">
      <c r="A59" s="13"/>
      <c r="B59" s="13"/>
      <c r="C59" s="13"/>
      <c r="D59" s="13"/>
      <c r="E59" s="13"/>
      <c r="F59" s="13"/>
      <c r="G59" s="13"/>
      <c r="H59" s="13"/>
      <c r="I59" s="13"/>
      <c r="J59" s="13"/>
      <c r="K59" s="13"/>
      <c r="L59" s="13"/>
      <c r="M59" s="13"/>
      <c r="N59" s="13"/>
      <c r="O59" s="13"/>
      <c r="P59" s="13"/>
      <c r="Q59" s="13"/>
    </row>
    <row r="60" spans="1:17" x14ac:dyDescent="0.2">
      <c r="A60" s="13"/>
      <c r="B60" s="13"/>
      <c r="C60" s="13"/>
      <c r="D60" s="13"/>
      <c r="E60" s="13"/>
      <c r="F60" s="13"/>
      <c r="G60" s="13"/>
      <c r="H60" s="13"/>
      <c r="I60" s="13"/>
      <c r="J60" s="13"/>
      <c r="K60" s="13"/>
      <c r="L60" s="13"/>
      <c r="M60" s="13"/>
      <c r="N60" s="13"/>
      <c r="O60" s="13"/>
      <c r="P60" s="13"/>
      <c r="Q60" s="13"/>
    </row>
    <row r="61" spans="1:17" x14ac:dyDescent="0.2">
      <c r="A61" s="13"/>
      <c r="B61" s="13"/>
      <c r="C61" s="13"/>
      <c r="D61" s="13"/>
      <c r="E61" s="13"/>
      <c r="F61" s="13"/>
      <c r="G61" s="13"/>
      <c r="H61" s="13"/>
      <c r="I61" s="13"/>
      <c r="J61" s="13"/>
      <c r="K61" s="13"/>
      <c r="L61" s="13"/>
      <c r="M61" s="13"/>
      <c r="N61" s="13"/>
      <c r="O61" s="13"/>
      <c r="P61" s="13"/>
      <c r="Q61" s="13"/>
    </row>
    <row r="62" spans="1:17" x14ac:dyDescent="0.2">
      <c r="A62" s="13"/>
      <c r="B62" s="13"/>
      <c r="C62" s="13"/>
      <c r="D62" s="13"/>
      <c r="E62" s="13"/>
      <c r="F62" s="13"/>
      <c r="G62" s="13"/>
      <c r="H62" s="13"/>
      <c r="I62" s="13"/>
      <c r="J62" s="13"/>
      <c r="K62" s="13"/>
      <c r="L62" s="13"/>
      <c r="M62" s="13"/>
      <c r="N62" s="13"/>
      <c r="O62" s="13"/>
      <c r="P62" s="13"/>
      <c r="Q62" s="13"/>
    </row>
    <row r="63" spans="1:17" x14ac:dyDescent="0.2">
      <c r="A63" s="13"/>
      <c r="B63" s="13"/>
      <c r="C63" s="13"/>
      <c r="D63" s="13"/>
      <c r="E63" s="13"/>
      <c r="F63" s="13"/>
      <c r="G63" s="13"/>
      <c r="H63" s="13"/>
      <c r="I63" s="13"/>
      <c r="J63" s="13"/>
      <c r="K63" s="13"/>
      <c r="L63" s="13"/>
      <c r="M63" s="13"/>
      <c r="N63" s="13"/>
      <c r="O63" s="13"/>
      <c r="P63" s="13"/>
      <c r="Q63" s="13"/>
    </row>
    <row r="64" spans="1:17" x14ac:dyDescent="0.2">
      <c r="A64" s="13"/>
      <c r="B64" s="13"/>
      <c r="C64" s="13"/>
      <c r="D64" s="13"/>
      <c r="E64" s="13"/>
      <c r="F64" s="13"/>
      <c r="G64" s="13"/>
      <c r="H64" s="13"/>
      <c r="I64" s="13"/>
      <c r="J64" s="13"/>
      <c r="K64" s="13"/>
      <c r="L64" s="13"/>
      <c r="M64" s="13"/>
      <c r="N64" s="13"/>
      <c r="O64" s="13"/>
      <c r="P64" s="13"/>
      <c r="Q64" s="13"/>
    </row>
  </sheetData>
  <mergeCells count="1">
    <mergeCell ref="A1:Q6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9CC2A-739C-4452-98D4-B61782F3869B}">
  <dimension ref="A1:AL1048576"/>
  <sheetViews>
    <sheetView tabSelected="1" zoomScaleNormal="100" workbookViewId="0">
      <selection activeCell="V43" sqref="V43"/>
    </sheetView>
  </sheetViews>
  <sheetFormatPr baseColWidth="10" defaultColWidth="8.83203125" defaultRowHeight="15" x14ac:dyDescent="0.2"/>
  <cols>
    <col min="1" max="1" width="7" customWidth="1"/>
    <col min="2" max="2" width="16.5" customWidth="1"/>
    <col min="3" max="3" width="12.5" customWidth="1"/>
    <col min="4" max="7" width="20.83203125" customWidth="1"/>
    <col min="9" max="9" width="8.1640625" customWidth="1"/>
    <col min="10" max="10" width="17.1640625" customWidth="1"/>
    <col min="11" max="11" width="17.6640625" bestFit="1" customWidth="1"/>
    <col min="12" max="12" width="16.6640625" customWidth="1"/>
    <col min="13" max="13" width="17.83203125" customWidth="1"/>
    <col min="14" max="14" width="16.1640625" customWidth="1"/>
    <col min="15" max="15" width="16.83203125" customWidth="1"/>
    <col min="16" max="16" width="19.1640625" customWidth="1"/>
    <col min="17" max="17" width="17.6640625" customWidth="1"/>
    <col min="18" max="18" width="19.6640625" customWidth="1"/>
    <col min="19" max="19" width="17.6640625" bestFit="1" customWidth="1"/>
    <col min="20" max="20" width="15.83203125" customWidth="1"/>
    <col min="21" max="21" width="17.6640625" bestFit="1" customWidth="1"/>
    <col min="22" max="22" width="20.33203125" bestFit="1" customWidth="1"/>
    <col min="23" max="23" width="14.6640625" bestFit="1" customWidth="1"/>
    <col min="27" max="27" width="15.6640625" bestFit="1" customWidth="1"/>
    <col min="28" max="29" width="20" bestFit="1" customWidth="1"/>
    <col min="30" max="30" width="15.83203125" bestFit="1" customWidth="1"/>
    <col min="31" max="31" width="12.1640625" bestFit="1" customWidth="1"/>
    <col min="32" max="32" width="10.6640625" bestFit="1" customWidth="1"/>
    <col min="33" max="34" width="11.6640625" bestFit="1" customWidth="1"/>
    <col min="36" max="36" width="11.6640625" bestFit="1" customWidth="1"/>
    <col min="37" max="37" width="11.1640625" bestFit="1" customWidth="1"/>
  </cols>
  <sheetData>
    <row r="1" spans="1:38" ht="17" x14ac:dyDescent="0.25">
      <c r="A1" s="1"/>
      <c r="B1" s="1"/>
      <c r="C1" s="1"/>
      <c r="D1" s="1"/>
      <c r="E1" s="1"/>
      <c r="F1" s="1"/>
      <c r="G1" s="1"/>
    </row>
    <row r="2" spans="1:38" ht="17" x14ac:dyDescent="0.25">
      <c r="A2" s="1"/>
      <c r="B2" s="1"/>
      <c r="C2" s="1"/>
      <c r="D2" s="1"/>
      <c r="E2" s="1"/>
      <c r="F2" s="1"/>
      <c r="G2" s="1"/>
    </row>
    <row r="3" spans="1:38" ht="17" x14ac:dyDescent="0.25">
      <c r="A3" s="1"/>
      <c r="B3" s="1"/>
      <c r="C3" s="1"/>
      <c r="D3" s="1"/>
      <c r="E3" s="1"/>
      <c r="F3" s="1"/>
      <c r="G3" s="1"/>
      <c r="Y3" s="102"/>
      <c r="Z3" s="102"/>
      <c r="AB3" s="102"/>
      <c r="AC3" s="102"/>
      <c r="AD3" s="102"/>
      <c r="AE3" s="102"/>
      <c r="AF3" s="102"/>
      <c r="AG3" s="102"/>
      <c r="AH3" s="102"/>
      <c r="AI3" s="102"/>
      <c r="AJ3" s="102"/>
      <c r="AK3" s="102"/>
      <c r="AL3" s="102"/>
    </row>
    <row r="4" spans="1:38" ht="17" x14ac:dyDescent="0.25">
      <c r="B4" s="2"/>
      <c r="C4" s="2"/>
      <c r="D4" s="3"/>
      <c r="E4" s="2"/>
      <c r="F4" s="2"/>
      <c r="Y4" s="102"/>
      <c r="Z4" s="102"/>
      <c r="AB4" s="102"/>
      <c r="AC4" s="102"/>
      <c r="AD4" s="102"/>
      <c r="AE4" s="102"/>
      <c r="AF4" s="102"/>
      <c r="AG4" s="102"/>
      <c r="AH4" s="102"/>
      <c r="AI4" s="102"/>
      <c r="AJ4" s="102"/>
      <c r="AK4" s="102"/>
      <c r="AL4" s="102"/>
    </row>
    <row r="5" spans="1:38" ht="17" x14ac:dyDescent="0.25">
      <c r="B5" s="6" t="s">
        <v>0</v>
      </c>
      <c r="C5" s="2"/>
      <c r="D5" s="3"/>
      <c r="E5" s="2"/>
      <c r="F5" s="2"/>
      <c r="Y5" s="102"/>
      <c r="Z5" s="102"/>
      <c r="AB5" s="102"/>
      <c r="AC5" s="102"/>
      <c r="AD5" s="102"/>
      <c r="AE5" s="102"/>
      <c r="AF5" s="102"/>
      <c r="AG5" s="102"/>
      <c r="AH5" s="102"/>
      <c r="AI5" s="102"/>
      <c r="AJ5" s="102"/>
      <c r="AK5" s="102"/>
      <c r="AL5" s="102"/>
    </row>
    <row r="6" spans="1:38" ht="20" thickBot="1" x14ac:dyDescent="0.3">
      <c r="B6" s="6"/>
      <c r="C6" s="2"/>
      <c r="D6" s="3"/>
      <c r="E6" s="2"/>
      <c r="F6" s="2"/>
      <c r="I6" s="14" t="s">
        <v>1</v>
      </c>
      <c r="J6" s="14"/>
      <c r="K6" s="14"/>
      <c r="L6" s="14"/>
      <c r="M6" s="14"/>
      <c r="N6" s="14"/>
      <c r="O6" s="14"/>
      <c r="P6" s="14"/>
      <c r="Q6" s="14"/>
      <c r="R6" s="14"/>
      <c r="S6" s="14"/>
      <c r="T6" s="14"/>
      <c r="U6" s="14"/>
      <c r="V6" s="14"/>
      <c r="W6" s="14"/>
      <c r="Y6" s="102"/>
      <c r="Z6" s="102"/>
      <c r="AA6" s="150"/>
      <c r="AB6" s="150"/>
      <c r="AC6" s="150"/>
      <c r="AD6" s="150"/>
      <c r="AE6" s="103"/>
      <c r="AF6" s="104"/>
      <c r="AG6" s="103"/>
      <c r="AH6" s="103"/>
      <c r="AI6" s="104"/>
      <c r="AJ6" s="103"/>
      <c r="AK6" s="105"/>
      <c r="AL6" s="104"/>
    </row>
    <row r="7" spans="1:38" ht="19" x14ac:dyDescent="0.25">
      <c r="B7" s="8"/>
      <c r="C7" s="8"/>
      <c r="D7" s="8" t="s">
        <v>2</v>
      </c>
      <c r="E7" s="8" t="s">
        <v>3</v>
      </c>
      <c r="F7" s="8" t="s">
        <v>4</v>
      </c>
      <c r="G7" s="8" t="s">
        <v>5</v>
      </c>
      <c r="I7" s="24"/>
      <c r="J7" s="58"/>
      <c r="K7" s="49"/>
      <c r="L7" s="72" t="s">
        <v>74</v>
      </c>
      <c r="M7" s="49"/>
      <c r="N7" s="49"/>
      <c r="O7" s="50"/>
      <c r="P7" s="58"/>
      <c r="Q7" s="49"/>
      <c r="R7" s="74" t="s">
        <v>75</v>
      </c>
      <c r="S7" s="73"/>
      <c r="T7" s="49"/>
      <c r="U7" s="49"/>
      <c r="V7" s="75" t="s">
        <v>49</v>
      </c>
      <c r="W7" s="23"/>
      <c r="Y7" s="102"/>
      <c r="Z7" s="102"/>
      <c r="AA7" s="146"/>
      <c r="AB7" s="144"/>
      <c r="AC7" s="145"/>
      <c r="AD7" s="147"/>
      <c r="AE7" s="103"/>
      <c r="AF7" s="104"/>
      <c r="AG7" s="103"/>
      <c r="AH7" s="103"/>
      <c r="AI7" s="104"/>
      <c r="AJ7" s="103"/>
      <c r="AK7" s="105"/>
      <c r="AL7" s="104"/>
    </row>
    <row r="8" spans="1:38" x14ac:dyDescent="0.2">
      <c r="B8" s="8" t="s">
        <v>6</v>
      </c>
      <c r="C8" s="8"/>
      <c r="D8" s="8" t="s">
        <v>7</v>
      </c>
      <c r="E8" s="8" t="s">
        <v>8</v>
      </c>
      <c r="F8" s="8" t="s">
        <v>9</v>
      </c>
      <c r="G8" s="8" t="s">
        <v>10</v>
      </c>
      <c r="I8" s="24"/>
      <c r="J8" s="46" t="s">
        <v>55</v>
      </c>
      <c r="K8" s="35" t="s">
        <v>40</v>
      </c>
      <c r="L8" s="29" t="s">
        <v>44</v>
      </c>
      <c r="M8" s="35" t="s">
        <v>42</v>
      </c>
      <c r="N8" s="62" t="s">
        <v>63</v>
      </c>
      <c r="O8" s="70"/>
      <c r="P8" s="46" t="s">
        <v>55</v>
      </c>
      <c r="Q8" s="35" t="s">
        <v>40</v>
      </c>
      <c r="R8" s="29" t="s">
        <v>44</v>
      </c>
      <c r="S8" s="35" t="s">
        <v>42</v>
      </c>
      <c r="T8" s="62" t="s">
        <v>63</v>
      </c>
      <c r="U8" s="63"/>
      <c r="V8" s="76" t="s">
        <v>97</v>
      </c>
      <c r="W8" s="77">
        <v>0.2</v>
      </c>
      <c r="Y8" s="102"/>
      <c r="Z8" s="102"/>
      <c r="AA8" s="140"/>
      <c r="AB8" s="140"/>
      <c r="AC8" s="140"/>
      <c r="AD8" s="141"/>
      <c r="AE8" s="103"/>
      <c r="AF8" s="104"/>
      <c r="AG8" s="103"/>
      <c r="AH8" s="103"/>
      <c r="AI8" s="104"/>
      <c r="AJ8" s="103"/>
      <c r="AK8" s="105"/>
      <c r="AL8" s="104"/>
    </row>
    <row r="9" spans="1:38" ht="16" x14ac:dyDescent="0.2">
      <c r="B9" s="5" t="s">
        <v>11</v>
      </c>
      <c r="C9" s="4"/>
      <c r="D9" s="38">
        <v>-10000000</v>
      </c>
      <c r="E9" s="10">
        <v>-17000000</v>
      </c>
      <c r="F9" s="10">
        <v>-4500000</v>
      </c>
      <c r="G9" s="10">
        <v>-3000000</v>
      </c>
      <c r="I9" s="24"/>
      <c r="J9" s="26">
        <f>InvestmentACost</f>
        <v>-10000000</v>
      </c>
      <c r="K9" s="38">
        <f>-InvestmentACost*BondRatio</f>
        <v>7000000</v>
      </c>
      <c r="L9" s="44">
        <f>ROUNDUP(M11/$W$25,0)</f>
        <v>36586</v>
      </c>
      <c r="M9" s="38">
        <f>-InvestmentACost*StockRatio</f>
        <v>3000000</v>
      </c>
      <c r="N9" s="37" t="s">
        <v>64</v>
      </c>
      <c r="O9" s="65">
        <f>D10</f>
        <v>1400000</v>
      </c>
      <c r="P9" s="36">
        <f>InvestmentBCost</f>
        <v>-17000000</v>
      </c>
      <c r="Q9" s="38">
        <f>-InvestmentBCost*BondRatio</f>
        <v>11900000</v>
      </c>
      <c r="R9" s="44">
        <f>ROUNDUP(S11/$W$25,0)</f>
        <v>62196</v>
      </c>
      <c r="S9" s="38">
        <f>-InvestmentBCost*StockRatio</f>
        <v>5100000</v>
      </c>
      <c r="T9" s="37" t="s">
        <v>65</v>
      </c>
      <c r="U9" s="38">
        <f>E10</f>
        <v>3000000</v>
      </c>
      <c r="V9" s="78" t="s">
        <v>98</v>
      </c>
      <c r="W9" s="79">
        <v>0.14000000000000001</v>
      </c>
      <c r="Y9" s="102"/>
      <c r="Z9" s="102"/>
      <c r="AA9" s="148"/>
      <c r="AB9" s="146"/>
      <c r="AC9" s="146"/>
      <c r="AD9" s="146"/>
      <c r="AE9" s="103"/>
      <c r="AF9" s="104"/>
      <c r="AG9" s="103"/>
      <c r="AH9" s="103"/>
      <c r="AI9" s="104"/>
      <c r="AJ9" s="103"/>
      <c r="AK9" s="105"/>
      <c r="AL9" s="104"/>
    </row>
    <row r="10" spans="1:38" ht="16" x14ac:dyDescent="0.2">
      <c r="B10" s="5" t="s">
        <v>12</v>
      </c>
      <c r="C10" s="20"/>
      <c r="D10" s="10">
        <v>1400000</v>
      </c>
      <c r="E10" s="10">
        <v>3000000</v>
      </c>
      <c r="F10" s="10">
        <v>8000000</v>
      </c>
      <c r="G10" s="10">
        <v>600000</v>
      </c>
      <c r="I10" s="24"/>
      <c r="J10" s="46" t="s">
        <v>60</v>
      </c>
      <c r="K10" s="35" t="s">
        <v>41</v>
      </c>
      <c r="L10" s="40" t="s">
        <v>54</v>
      </c>
      <c r="M10" s="35" t="s">
        <v>43</v>
      </c>
      <c r="N10" s="38"/>
      <c r="O10" s="65"/>
      <c r="P10" s="46" t="s">
        <v>60</v>
      </c>
      <c r="Q10" s="35" t="s">
        <v>41</v>
      </c>
      <c r="R10" s="40" t="s">
        <v>54</v>
      </c>
      <c r="S10" s="35" t="s">
        <v>43</v>
      </c>
      <c r="T10" s="37" t="s">
        <v>66</v>
      </c>
      <c r="U10" s="64">
        <f>E15</f>
        <v>5000000</v>
      </c>
      <c r="V10" s="75" t="s">
        <v>62</v>
      </c>
      <c r="W10" s="23"/>
      <c r="Y10" s="102"/>
      <c r="Z10" s="102"/>
      <c r="AA10" s="149"/>
      <c r="AB10" s="140"/>
      <c r="AC10" s="140"/>
      <c r="AD10" s="140"/>
      <c r="AE10" s="103"/>
      <c r="AF10" s="104"/>
      <c r="AG10" s="103"/>
      <c r="AH10" s="103"/>
      <c r="AI10" s="104"/>
      <c r="AJ10" s="103"/>
      <c r="AK10" s="105"/>
      <c r="AL10" s="104"/>
    </row>
    <row r="11" spans="1:38" ht="17" thickBot="1" x14ac:dyDescent="0.25">
      <c r="B11" s="5" t="s">
        <v>13</v>
      </c>
      <c r="C11" s="20"/>
      <c r="D11" s="10">
        <v>1400000</v>
      </c>
      <c r="E11" s="10">
        <v>3000000</v>
      </c>
      <c r="F11" s="10">
        <v>8000000</v>
      </c>
      <c r="G11" s="10">
        <v>600000</v>
      </c>
      <c r="I11" s="24"/>
      <c r="J11" s="41">
        <f>-(ABondTotal+AStockTotal)</f>
        <v>-11105345.096004153</v>
      </c>
      <c r="K11" s="42">
        <f>K9/BondParRate</f>
        <v>7446808.5106382985</v>
      </c>
      <c r="L11" s="42">
        <f>-ABondTotal*BondRate</f>
        <v>-446808.51063829788</v>
      </c>
      <c r="M11" s="39">
        <f>M9/StockParRate</f>
        <v>3658536.5853658537</v>
      </c>
      <c r="N11" s="45"/>
      <c r="O11" s="43"/>
      <c r="P11" s="41">
        <f>-(BBondTotal+BStockTotal)</f>
        <v>-18879086.663207058</v>
      </c>
      <c r="Q11" s="42">
        <f>Q9/BondParRate</f>
        <v>12659574.468085106</v>
      </c>
      <c r="R11" s="42">
        <f>-BBondTotal*BondRate</f>
        <v>-759574.46808510635</v>
      </c>
      <c r="S11" s="39">
        <f>S9/StockParRate</f>
        <v>6219512.1951219514</v>
      </c>
      <c r="T11" s="38"/>
      <c r="U11" s="38"/>
      <c r="V11" s="80" t="s">
        <v>103</v>
      </c>
      <c r="W11" s="81">
        <f>(W21/W17)/((W21/W17)+(W29/W26))</f>
        <v>0.67056074766355145</v>
      </c>
      <c r="Y11" s="102"/>
      <c r="Z11" s="102"/>
      <c r="AA11" s="149"/>
      <c r="AB11" s="142"/>
      <c r="AC11" s="142"/>
      <c r="AD11" s="142"/>
      <c r="AE11" s="103"/>
      <c r="AF11" s="104"/>
      <c r="AG11" s="103"/>
      <c r="AH11" s="103"/>
      <c r="AI11" s="104"/>
      <c r="AJ11" s="103"/>
      <c r="AK11" s="105"/>
      <c r="AL11" s="104"/>
    </row>
    <row r="12" spans="1:38" ht="16" x14ac:dyDescent="0.2">
      <c r="B12" s="5" t="s">
        <v>14</v>
      </c>
      <c r="C12" s="20"/>
      <c r="D12" s="10">
        <v>1400000</v>
      </c>
      <c r="E12" s="10">
        <v>3000000</v>
      </c>
      <c r="F12" s="10">
        <v>8000000</v>
      </c>
      <c r="G12" s="10">
        <v>600000</v>
      </c>
      <c r="I12" s="48"/>
      <c r="J12" s="73" t="s">
        <v>71</v>
      </c>
      <c r="K12" s="52"/>
      <c r="L12" s="136" t="s">
        <v>70</v>
      </c>
      <c r="M12" s="50"/>
      <c r="N12" s="73" t="s">
        <v>69</v>
      </c>
      <c r="O12" s="52"/>
      <c r="P12" s="73" t="s">
        <v>72</v>
      </c>
      <c r="Q12" s="50"/>
      <c r="R12" s="73" t="s">
        <v>68</v>
      </c>
      <c r="S12" s="50"/>
      <c r="T12" s="73" t="s">
        <v>67</v>
      </c>
      <c r="U12" s="49"/>
      <c r="V12" s="80" t="s">
        <v>104</v>
      </c>
      <c r="W12" s="81">
        <f>(W29/W26)/((W29/W26)+(W21/W17))</f>
        <v>0.32943925233644861</v>
      </c>
      <c r="Y12" s="102"/>
      <c r="Z12" s="102"/>
      <c r="AA12" s="149"/>
      <c r="AB12" s="142"/>
      <c r="AC12" s="142"/>
      <c r="AD12" s="142"/>
      <c r="AE12" s="103"/>
      <c r="AF12" s="104"/>
      <c r="AG12" s="103"/>
      <c r="AH12" s="103"/>
      <c r="AI12" s="104"/>
      <c r="AJ12" s="103"/>
      <c r="AK12" s="105"/>
      <c r="AL12" s="104"/>
    </row>
    <row r="13" spans="1:38" ht="16" x14ac:dyDescent="0.2">
      <c r="B13" s="5" t="s">
        <v>15</v>
      </c>
      <c r="C13" s="20"/>
      <c r="D13" s="10">
        <v>1400000</v>
      </c>
      <c r="E13" s="10">
        <v>3000000</v>
      </c>
      <c r="F13" s="10">
        <v>8000000</v>
      </c>
      <c r="G13" s="10">
        <v>600000</v>
      </c>
      <c r="I13" s="51" t="s">
        <v>6</v>
      </c>
      <c r="J13" s="51" t="s">
        <v>39</v>
      </c>
      <c r="K13" s="52" t="s">
        <v>53</v>
      </c>
      <c r="L13" s="51" t="s">
        <v>39</v>
      </c>
      <c r="M13" s="52" t="s">
        <v>53</v>
      </c>
      <c r="N13" s="51" t="s">
        <v>39</v>
      </c>
      <c r="O13" s="52" t="s">
        <v>53</v>
      </c>
      <c r="P13" s="51" t="s">
        <v>39</v>
      </c>
      <c r="Q13" s="52" t="s">
        <v>53</v>
      </c>
      <c r="R13" s="51" t="s">
        <v>39</v>
      </c>
      <c r="S13" s="52" t="s">
        <v>53</v>
      </c>
      <c r="T13" s="51" t="s">
        <v>39</v>
      </c>
      <c r="U13" s="48" t="s">
        <v>53</v>
      </c>
      <c r="V13" s="82" t="s">
        <v>45</v>
      </c>
      <c r="W13" s="83">
        <f>(ABEquityPct*RequiredReturn)+(ABDebtPct*BondRate*(1-TaxRate))</f>
        <v>7.8308411214953272E-2</v>
      </c>
      <c r="Y13" s="102"/>
      <c r="Z13" s="102"/>
      <c r="AA13" s="149"/>
      <c r="AB13" s="143"/>
      <c r="AC13" s="143"/>
      <c r="AD13" s="143"/>
      <c r="AE13" s="103"/>
      <c r="AF13" s="104"/>
      <c r="AG13" s="103"/>
      <c r="AH13" s="103"/>
      <c r="AI13" s="104"/>
      <c r="AJ13" s="103"/>
      <c r="AK13" s="105"/>
      <c r="AL13" s="104"/>
    </row>
    <row r="14" spans="1:38" ht="16" x14ac:dyDescent="0.2">
      <c r="B14" s="5" t="s">
        <v>16</v>
      </c>
      <c r="C14" s="20"/>
      <c r="D14" s="10">
        <v>1400000</v>
      </c>
      <c r="E14" s="10">
        <v>3000000</v>
      </c>
      <c r="F14" s="10">
        <v>8000000</v>
      </c>
      <c r="G14" s="10">
        <v>600000</v>
      </c>
      <c r="I14" s="68">
        <v>0</v>
      </c>
      <c r="J14" s="26">
        <f>ATotalInvestment</f>
        <v>-11105345.096004153</v>
      </c>
      <c r="K14" s="65">
        <f>J14</f>
        <v>-11105345.096004153</v>
      </c>
      <c r="L14" s="26">
        <f>ATotalInvestment</f>
        <v>-11105345.096004153</v>
      </c>
      <c r="M14" s="65">
        <f>L14</f>
        <v>-11105345.096004153</v>
      </c>
      <c r="N14" s="26">
        <f>ATotalInvestment</f>
        <v>-11105345.096004153</v>
      </c>
      <c r="O14" s="65">
        <f>N14</f>
        <v>-11105345.096004153</v>
      </c>
      <c r="P14" s="26">
        <f>BTotalInvestment</f>
        <v>-18879086.663207058</v>
      </c>
      <c r="Q14" s="65">
        <f>P14</f>
        <v>-18879086.663207058</v>
      </c>
      <c r="R14" s="28">
        <f>BTotalInvestment</f>
        <v>-18879086.663207058</v>
      </c>
      <c r="S14" s="65">
        <f>R14</f>
        <v>-18879086.663207058</v>
      </c>
      <c r="T14" s="28">
        <f>BTotalInvestment</f>
        <v>-18879086.663207058</v>
      </c>
      <c r="U14" s="38">
        <f>T14</f>
        <v>-18879086.663207058</v>
      </c>
      <c r="V14" s="75" t="s">
        <v>50</v>
      </c>
      <c r="W14" s="23"/>
      <c r="Y14" s="102"/>
      <c r="Z14" s="102"/>
      <c r="AA14" s="149"/>
      <c r="AB14" s="143"/>
      <c r="AC14" s="143"/>
      <c r="AD14" s="143"/>
      <c r="AE14" s="103"/>
      <c r="AF14" s="104"/>
      <c r="AG14" s="103"/>
      <c r="AH14" s="103"/>
      <c r="AI14" s="104"/>
      <c r="AJ14" s="103"/>
      <c r="AK14" s="105"/>
      <c r="AL14" s="104"/>
    </row>
    <row r="15" spans="1:38" x14ac:dyDescent="0.2">
      <c r="B15" s="5" t="s">
        <v>17</v>
      </c>
      <c r="C15" s="20"/>
      <c r="D15" s="10">
        <v>1400000</v>
      </c>
      <c r="E15" s="10">
        <v>5000000</v>
      </c>
      <c r="F15" s="10">
        <v>0</v>
      </c>
      <c r="G15" s="10">
        <v>600000</v>
      </c>
      <c r="I15" s="68">
        <f>I14+1</f>
        <v>1</v>
      </c>
      <c r="J15" s="26">
        <f>ACashFlow</f>
        <v>1400000</v>
      </c>
      <c r="K15" s="65">
        <f>K14+ACashFlow</f>
        <v>-9705345.0960041527</v>
      </c>
      <c r="L15" s="26">
        <f>ACashFlow+InvestmentAInterest</f>
        <v>953191.48936170212</v>
      </c>
      <c r="M15" s="65">
        <f>M14+L15</f>
        <v>-10152153.606642451</v>
      </c>
      <c r="N15" s="26">
        <f>(ACashFlow+InvestmentAInterest)*(1-TaxRate)</f>
        <v>762553.19148936169</v>
      </c>
      <c r="O15" s="65">
        <f>O14+N15</f>
        <v>-10342791.904514791</v>
      </c>
      <c r="P15" s="26">
        <f>IF($I15&lt;6,BCashFlow1,BCashFlow2)</f>
        <v>3000000</v>
      </c>
      <c r="Q15" s="65">
        <f>Q14+P15</f>
        <v>-15879086.663207058</v>
      </c>
      <c r="R15" s="28">
        <f>IF($I15&lt;6,BCashFlow1,BCashFlow2)+InvestmentBInterest</f>
        <v>2240425.5319148935</v>
      </c>
      <c r="S15" s="65">
        <f>S14+R15</f>
        <v>-16638661.131292164</v>
      </c>
      <c r="T15" s="28">
        <f>(IF($I15&lt;6,BCashFlow1,BCashFlow2)+InvestmentBInterest)*(1-TaxRate)</f>
        <v>1792340.4255319149</v>
      </c>
      <c r="U15" s="38">
        <f>U14+T15</f>
        <v>-17086746.237675142</v>
      </c>
      <c r="V15" s="76" t="s">
        <v>24</v>
      </c>
      <c r="W15" s="84">
        <v>15000000</v>
      </c>
      <c r="Y15" s="102"/>
      <c r="Z15" s="102"/>
      <c r="AA15" s="103"/>
      <c r="AB15" s="103"/>
      <c r="AC15" s="104"/>
      <c r="AD15" s="103"/>
      <c r="AE15" s="103"/>
      <c r="AF15" s="104"/>
      <c r="AG15" s="103"/>
      <c r="AH15" s="103"/>
      <c r="AI15" s="104"/>
      <c r="AJ15" s="103"/>
      <c r="AK15" s="105"/>
      <c r="AL15" s="104"/>
    </row>
    <row r="16" spans="1:38" x14ac:dyDescent="0.2">
      <c r="B16" s="5" t="s">
        <v>18</v>
      </c>
      <c r="C16" s="20"/>
      <c r="D16" s="10">
        <v>1400000</v>
      </c>
      <c r="E16" s="10">
        <v>5000000</v>
      </c>
      <c r="F16" s="10">
        <v>0</v>
      </c>
      <c r="G16" s="10">
        <v>600000</v>
      </c>
      <c r="I16" s="68">
        <f t="shared" ref="I16:I24" si="0">I15+1</f>
        <v>2</v>
      </c>
      <c r="J16" s="26">
        <f>ACashFlow</f>
        <v>1400000</v>
      </c>
      <c r="K16" s="65">
        <f>K15+ACashFlow</f>
        <v>-8305345.0960041527</v>
      </c>
      <c r="L16" s="26">
        <f>ACashFlow+InvestmentAInterest</f>
        <v>953191.48936170212</v>
      </c>
      <c r="M16" s="65">
        <f t="shared" ref="M16:M24" si="1">M15+L16</f>
        <v>-9198962.1172807496</v>
      </c>
      <c r="N16" s="26">
        <f>(ACashFlow+InvestmentAInterest)*(1-TaxRate)</f>
        <v>762553.19148936169</v>
      </c>
      <c r="O16" s="65">
        <f t="shared" ref="O16:O24" si="2">O15+N16</f>
        <v>-9580238.7130254302</v>
      </c>
      <c r="P16" s="26">
        <f>IF(I16&lt;6,BCashFlow1,BCashFlow2)</f>
        <v>3000000</v>
      </c>
      <c r="Q16" s="65">
        <f t="shared" ref="Q16:Q24" si="3">Q15+P16</f>
        <v>-12879086.663207058</v>
      </c>
      <c r="R16" s="28">
        <f>IF($I16&lt;6,BCashFlow1,BCashFlow2)+InvestmentBInterest</f>
        <v>2240425.5319148935</v>
      </c>
      <c r="S16" s="65">
        <f t="shared" ref="S16:S24" si="4">S15+R16</f>
        <v>-14398235.599377271</v>
      </c>
      <c r="T16" s="28">
        <f>(IF($I16&lt;6,BCashFlow1,BCashFlow2)+InvestmentBInterest)*(1-TaxRate)</f>
        <v>1792340.4255319149</v>
      </c>
      <c r="U16" s="38">
        <f t="shared" ref="U16:U24" si="5">U15+T16</f>
        <v>-15294405.812143227</v>
      </c>
      <c r="V16" s="76" t="s">
        <v>25</v>
      </c>
      <c r="W16" s="84">
        <v>1000</v>
      </c>
      <c r="Y16" s="102"/>
      <c r="Z16" s="102"/>
      <c r="AA16" s="103"/>
      <c r="AB16" s="103"/>
      <c r="AC16" s="104"/>
      <c r="AD16" s="103"/>
      <c r="AE16" s="103"/>
      <c r="AF16" s="104"/>
      <c r="AG16" s="103"/>
      <c r="AH16" s="103"/>
      <c r="AI16" s="104"/>
      <c r="AJ16" s="103"/>
      <c r="AK16" s="105"/>
      <c r="AL16" s="104"/>
    </row>
    <row r="17" spans="2:38" x14ac:dyDescent="0.2">
      <c r="B17" s="5" t="s">
        <v>19</v>
      </c>
      <c r="C17" s="20"/>
      <c r="D17" s="10">
        <v>1400000</v>
      </c>
      <c r="E17" s="10">
        <v>5000000</v>
      </c>
      <c r="F17" s="10">
        <v>0</v>
      </c>
      <c r="G17" s="10">
        <v>600000</v>
      </c>
      <c r="I17" s="68">
        <f t="shared" si="0"/>
        <v>3</v>
      </c>
      <c r="J17" s="26">
        <f>ACashFlow</f>
        <v>1400000</v>
      </c>
      <c r="K17" s="65">
        <f>K16+ACashFlow</f>
        <v>-6905345.0960041527</v>
      </c>
      <c r="L17" s="26">
        <f>ACashFlow+InvestmentAInterest</f>
        <v>953191.48936170212</v>
      </c>
      <c r="M17" s="65">
        <f t="shared" si="1"/>
        <v>-8245770.6279190471</v>
      </c>
      <c r="N17" s="26">
        <f>(ACashFlow+InvestmentAInterest)*(1-TaxRate)</f>
        <v>762553.19148936169</v>
      </c>
      <c r="O17" s="65">
        <f t="shared" si="2"/>
        <v>-8817685.521536069</v>
      </c>
      <c r="P17" s="26">
        <f>IF(I17&lt;6,BCashFlow1,BCashFlow2)</f>
        <v>3000000</v>
      </c>
      <c r="Q17" s="65">
        <f t="shared" si="3"/>
        <v>-9879086.6632070579</v>
      </c>
      <c r="R17" s="28">
        <f>IF($I17&lt;6,BCashFlow1,BCashFlow2)+InvestmentBInterest</f>
        <v>2240425.5319148935</v>
      </c>
      <c r="S17" s="65">
        <f t="shared" si="4"/>
        <v>-12157810.067462377</v>
      </c>
      <c r="T17" s="28">
        <f>(IF($I17&lt;6,BCashFlow1,BCashFlow2)+InvestmentBInterest)*(1-TaxRate)</f>
        <v>1792340.4255319149</v>
      </c>
      <c r="U17" s="38">
        <f t="shared" si="5"/>
        <v>-13502065.386611313</v>
      </c>
      <c r="V17" s="76" t="s">
        <v>26</v>
      </c>
      <c r="W17" s="85">
        <v>0.94</v>
      </c>
      <c r="Y17" s="102"/>
      <c r="Z17" s="102"/>
      <c r="AA17" s="102"/>
      <c r="AB17" s="102"/>
      <c r="AC17" s="104"/>
      <c r="AD17" s="102"/>
      <c r="AE17" s="102"/>
      <c r="AF17" s="104"/>
      <c r="AG17" s="102"/>
      <c r="AH17" s="102"/>
      <c r="AI17" s="104"/>
      <c r="AJ17" s="102"/>
      <c r="AK17" s="102"/>
      <c r="AL17" s="104"/>
    </row>
    <row r="18" spans="2:38" x14ac:dyDescent="0.2">
      <c r="B18" s="5" t="s">
        <v>20</v>
      </c>
      <c r="C18" s="20"/>
      <c r="D18" s="10">
        <v>1400000</v>
      </c>
      <c r="E18" s="10">
        <v>5000000</v>
      </c>
      <c r="F18" s="10">
        <v>0</v>
      </c>
      <c r="G18" s="10">
        <v>600000</v>
      </c>
      <c r="I18" s="68">
        <f t="shared" si="0"/>
        <v>4</v>
      </c>
      <c r="J18" s="26">
        <f>ACashFlow</f>
        <v>1400000</v>
      </c>
      <c r="K18" s="65">
        <f>K17+ACashFlow</f>
        <v>-5505345.0960041527</v>
      </c>
      <c r="L18" s="26">
        <f>ACashFlow+InvestmentAInterest</f>
        <v>953191.48936170212</v>
      </c>
      <c r="M18" s="65">
        <f t="shared" si="1"/>
        <v>-7292579.1385573447</v>
      </c>
      <c r="N18" s="26">
        <f>(ACashFlow+InvestmentAInterest)*(1-TaxRate)</f>
        <v>762553.19148936169</v>
      </c>
      <c r="O18" s="65">
        <f t="shared" si="2"/>
        <v>-8055132.3300467078</v>
      </c>
      <c r="P18" s="26">
        <f>IF(I18&lt;6,BCashFlow1,BCashFlow2)</f>
        <v>3000000</v>
      </c>
      <c r="Q18" s="65">
        <f t="shared" si="3"/>
        <v>-6879086.6632070579</v>
      </c>
      <c r="R18" s="28">
        <f>IF($I18&lt;6,BCashFlow1,BCashFlow2)+InvestmentBInterest</f>
        <v>2240425.5319148935</v>
      </c>
      <c r="S18" s="65">
        <f t="shared" si="4"/>
        <v>-9917384.5355474837</v>
      </c>
      <c r="T18" s="28">
        <f>(IF($I18&lt;6,BCashFlow1,BCashFlow2)+InvestmentBInterest)*(1-TaxRate)</f>
        <v>1792340.4255319149</v>
      </c>
      <c r="U18" s="38">
        <f t="shared" si="5"/>
        <v>-11709724.961079398</v>
      </c>
      <c r="V18" s="76" t="s">
        <v>27</v>
      </c>
      <c r="W18" s="86">
        <v>15000</v>
      </c>
      <c r="Y18" s="102"/>
      <c r="Z18" s="102"/>
      <c r="AA18" s="102"/>
      <c r="AB18" s="102"/>
      <c r="AC18" s="102"/>
      <c r="AD18" s="102"/>
      <c r="AE18" s="102"/>
      <c r="AF18" s="102"/>
      <c r="AG18" s="102"/>
      <c r="AH18" s="102"/>
      <c r="AI18" s="102"/>
      <c r="AJ18" s="102"/>
      <c r="AK18" s="102"/>
      <c r="AL18" s="102"/>
    </row>
    <row r="19" spans="2:38" x14ac:dyDescent="0.2">
      <c r="B19" s="5" t="s">
        <v>21</v>
      </c>
      <c r="C19" s="20"/>
      <c r="D19" s="11">
        <v>1400000</v>
      </c>
      <c r="E19" s="11">
        <v>5000000</v>
      </c>
      <c r="F19" s="11">
        <v>0</v>
      </c>
      <c r="G19" s="11">
        <v>600000</v>
      </c>
      <c r="I19" s="68">
        <f t="shared" si="0"/>
        <v>5</v>
      </c>
      <c r="J19" s="26">
        <f>ACashFlow</f>
        <v>1400000</v>
      </c>
      <c r="K19" s="65">
        <f>K18+ACashFlow</f>
        <v>-4105345.0960041527</v>
      </c>
      <c r="L19" s="26">
        <f>ACashFlow+InvestmentAInterest</f>
        <v>953191.48936170212</v>
      </c>
      <c r="M19" s="65">
        <f t="shared" si="1"/>
        <v>-6339387.6491956422</v>
      </c>
      <c r="N19" s="26">
        <f>(ACashFlow+InvestmentAInterest)*(1-TaxRate)</f>
        <v>762553.19148936169</v>
      </c>
      <c r="O19" s="65">
        <f t="shared" si="2"/>
        <v>-7292579.1385573465</v>
      </c>
      <c r="P19" s="26">
        <f>IF(I19&lt;6,BCashFlow1,BCashFlow2)</f>
        <v>3000000</v>
      </c>
      <c r="Q19" s="65">
        <f t="shared" si="3"/>
        <v>-3879086.6632070579</v>
      </c>
      <c r="R19" s="28">
        <f>IF($I19&lt;6,BCashFlow1,BCashFlow2)+InvestmentBInterest</f>
        <v>2240425.5319148935</v>
      </c>
      <c r="S19" s="65">
        <f t="shared" si="4"/>
        <v>-7676959.0036325902</v>
      </c>
      <c r="T19" s="28">
        <f>(IF($I19&lt;6,BCashFlow1,BCashFlow2)+InvestmentBInterest)*(1-TaxRate)</f>
        <v>1792340.4255319149</v>
      </c>
      <c r="U19" s="38">
        <f t="shared" si="5"/>
        <v>-9917384.5355474837</v>
      </c>
      <c r="V19" s="76" t="s">
        <v>23</v>
      </c>
      <c r="W19" s="84">
        <f>W18*W16*BondParRate</f>
        <v>14100000</v>
      </c>
      <c r="Y19" s="102"/>
      <c r="Z19" s="102"/>
      <c r="AA19" s="102"/>
      <c r="AB19" s="102"/>
      <c r="AC19" s="104"/>
      <c r="AD19" s="102"/>
      <c r="AE19" s="102"/>
      <c r="AF19" s="102"/>
      <c r="AG19" s="102"/>
      <c r="AH19" s="102"/>
      <c r="AI19" s="102"/>
      <c r="AJ19" s="102"/>
      <c r="AK19" s="102"/>
      <c r="AL19" s="102"/>
    </row>
    <row r="20" spans="2:38" x14ac:dyDescent="0.2">
      <c r="C20" s="4" t="s">
        <v>22</v>
      </c>
      <c r="D20" s="12">
        <f>SUM(D9:D19)</f>
        <v>4000000</v>
      </c>
      <c r="E20" s="12">
        <f t="shared" ref="E20:G20" si="6">SUM(E9:E19)</f>
        <v>23000000</v>
      </c>
      <c r="F20" s="12">
        <f t="shared" si="6"/>
        <v>35500000</v>
      </c>
      <c r="G20" s="12">
        <f t="shared" si="6"/>
        <v>3000000</v>
      </c>
      <c r="I20" s="68">
        <f t="shared" si="0"/>
        <v>6</v>
      </c>
      <c r="J20" s="26">
        <f>ACashFlow</f>
        <v>1400000</v>
      </c>
      <c r="K20" s="65">
        <f>K19+ACashFlow</f>
        <v>-2705345.0960041527</v>
      </c>
      <c r="L20" s="26">
        <f>ACashFlow+InvestmentAInterest</f>
        <v>953191.48936170212</v>
      </c>
      <c r="M20" s="65">
        <f t="shared" si="1"/>
        <v>-5386196.1598339397</v>
      </c>
      <c r="N20" s="26">
        <f>(ACashFlow+InvestmentAInterest)*(1-TaxRate)</f>
        <v>762553.19148936169</v>
      </c>
      <c r="O20" s="65">
        <f t="shared" si="2"/>
        <v>-6530025.9470679853</v>
      </c>
      <c r="P20" s="26">
        <f>IF(I20&lt;6,BCashFlow1,BCashFlow2)</f>
        <v>5000000</v>
      </c>
      <c r="Q20" s="65">
        <f t="shared" si="3"/>
        <v>1120913.3367929421</v>
      </c>
      <c r="R20" s="28">
        <f>IF($I20&lt;6,BCashFlow1,BCashFlow2)+InvestmentBInterest</f>
        <v>4240425.5319148935</v>
      </c>
      <c r="S20" s="65">
        <f t="shared" si="4"/>
        <v>-3436533.4717176966</v>
      </c>
      <c r="T20" s="28">
        <f>(IF($I20&lt;6,BCashFlow1,BCashFlow2)+InvestmentBInterest)*(1-TaxRate)</f>
        <v>3392340.4255319149</v>
      </c>
      <c r="U20" s="38">
        <f t="shared" si="5"/>
        <v>-6525044.1100155693</v>
      </c>
      <c r="V20" s="76" t="s">
        <v>33</v>
      </c>
      <c r="W20" s="85">
        <v>0.06</v>
      </c>
    </row>
    <row r="21" spans="2:38" x14ac:dyDescent="0.2">
      <c r="I21" s="68">
        <f t="shared" si="0"/>
        <v>7</v>
      </c>
      <c r="J21" s="26">
        <f>ACashFlow</f>
        <v>1400000</v>
      </c>
      <c r="K21" s="65">
        <f>K20+ACashFlow</f>
        <v>-1305345.0960041527</v>
      </c>
      <c r="L21" s="26">
        <f>ACashFlow+InvestmentAInterest</f>
        <v>953191.48936170212</v>
      </c>
      <c r="M21" s="65">
        <f t="shared" si="1"/>
        <v>-4433004.6704722373</v>
      </c>
      <c r="N21" s="26">
        <f>(ACashFlow+InvestmentAInterest)*(1-TaxRate)</f>
        <v>762553.19148936169</v>
      </c>
      <c r="O21" s="65">
        <f t="shared" si="2"/>
        <v>-5767472.7555786241</v>
      </c>
      <c r="P21" s="26">
        <f>IF(I21&lt;6,BCashFlow1,BCashFlow2)</f>
        <v>5000000</v>
      </c>
      <c r="Q21" s="65">
        <f t="shared" si="3"/>
        <v>6120913.3367929421</v>
      </c>
      <c r="R21" s="28">
        <f>IF($I21&lt;6,BCashFlow1,BCashFlow2)+InvestmentBInterest</f>
        <v>4240425.5319148935</v>
      </c>
      <c r="S21" s="65">
        <f t="shared" si="4"/>
        <v>803892.0601971969</v>
      </c>
      <c r="T21" s="28">
        <f>(IF($I21&lt;6,BCashFlow1,BCashFlow2)+InvestmentBInterest)*(1-TaxRate)</f>
        <v>3392340.4255319149</v>
      </c>
      <c r="U21" s="38">
        <f t="shared" si="5"/>
        <v>-3132703.6844836543</v>
      </c>
      <c r="V21" s="76" t="s">
        <v>37</v>
      </c>
      <c r="W21" s="85">
        <v>0.7</v>
      </c>
    </row>
    <row r="22" spans="2:38" x14ac:dyDescent="0.2">
      <c r="D22" s="16"/>
      <c r="E22" s="16"/>
      <c r="F22" s="16"/>
      <c r="G22" s="16"/>
      <c r="I22" s="68">
        <f t="shared" si="0"/>
        <v>8</v>
      </c>
      <c r="J22" s="26">
        <f>ACashFlow</f>
        <v>1400000</v>
      </c>
      <c r="K22" s="65">
        <f>K21+ACashFlow</f>
        <v>94654.903995847329</v>
      </c>
      <c r="L22" s="26">
        <f>ACashFlow+InvestmentAInterest</f>
        <v>953191.48936170212</v>
      </c>
      <c r="M22" s="65">
        <f t="shared" si="1"/>
        <v>-3479813.1811105353</v>
      </c>
      <c r="N22" s="26">
        <f>(ACashFlow+InvestmentAInterest)*(1-TaxRate)</f>
        <v>762553.19148936169</v>
      </c>
      <c r="O22" s="65">
        <f t="shared" si="2"/>
        <v>-5004919.5640892629</v>
      </c>
      <c r="P22" s="26">
        <f>IF(I22&lt;6,BCashFlow1,BCashFlow2)</f>
        <v>5000000</v>
      </c>
      <c r="Q22" s="65">
        <f t="shared" si="3"/>
        <v>11120913.336792942</v>
      </c>
      <c r="R22" s="28">
        <f>IF($I22&lt;6,BCashFlow1,BCashFlow2)+InvestmentBInterest</f>
        <v>4240425.5319148935</v>
      </c>
      <c r="S22" s="65">
        <f t="shared" si="4"/>
        <v>5044317.5921120904</v>
      </c>
      <c r="T22" s="28">
        <f>(IF($I22&lt;6,BCashFlow1,BCashFlow2)+InvestmentBInterest)*(1-TaxRate)</f>
        <v>3392340.4255319149</v>
      </c>
      <c r="U22" s="38">
        <f t="shared" si="5"/>
        <v>259636.74104826059</v>
      </c>
      <c r="V22" s="78" t="s">
        <v>48</v>
      </c>
      <c r="W22" s="87">
        <f>BondRate*(1-TaxRate)</f>
        <v>4.8000000000000001E-2</v>
      </c>
    </row>
    <row r="23" spans="2:38" x14ac:dyDescent="0.2">
      <c r="I23" s="68">
        <f t="shared" si="0"/>
        <v>9</v>
      </c>
      <c r="J23" s="26">
        <f>ACashFlow</f>
        <v>1400000</v>
      </c>
      <c r="K23" s="65">
        <f>K22+ACashFlow</f>
        <v>1494654.9039958473</v>
      </c>
      <c r="L23" s="26">
        <f>ACashFlow+InvestmentAInterest</f>
        <v>953191.48936170212</v>
      </c>
      <c r="M23" s="65">
        <f t="shared" si="1"/>
        <v>-2526621.6917488333</v>
      </c>
      <c r="N23" s="26">
        <f>(ACashFlow+InvestmentAInterest)*(1-TaxRate)</f>
        <v>762553.19148936169</v>
      </c>
      <c r="O23" s="65">
        <f t="shared" si="2"/>
        <v>-4242366.3725999016</v>
      </c>
      <c r="P23" s="26">
        <f>IF(I23&lt;6,BCashFlow1,BCashFlow2)</f>
        <v>5000000</v>
      </c>
      <c r="Q23" s="65">
        <f t="shared" si="3"/>
        <v>16120913.336792942</v>
      </c>
      <c r="R23" s="28">
        <f>IF($I23&lt;6,BCashFlow1,BCashFlow2)+InvestmentBInterest</f>
        <v>4240425.5319148935</v>
      </c>
      <c r="S23" s="65">
        <f t="shared" si="4"/>
        <v>9284743.124026984</v>
      </c>
      <c r="T23" s="28">
        <f>(IF($I23&lt;6,BCashFlow1,BCashFlow2)+InvestmentBInterest)*(1-TaxRate)</f>
        <v>3392340.4255319149</v>
      </c>
      <c r="U23" s="38">
        <f t="shared" si="5"/>
        <v>3651977.1665801755</v>
      </c>
      <c r="V23" s="89" t="s">
        <v>51</v>
      </c>
      <c r="W23" s="25"/>
    </row>
    <row r="24" spans="2:38" x14ac:dyDescent="0.2">
      <c r="I24" s="68">
        <f t="shared" si="0"/>
        <v>10</v>
      </c>
      <c r="J24" s="27">
        <f>ACashFlow</f>
        <v>1400000</v>
      </c>
      <c r="K24" s="134">
        <f>K23+ACashFlow</f>
        <v>2894654.9039958473</v>
      </c>
      <c r="L24" s="27">
        <f>ACashFlow+InvestmentAInterest</f>
        <v>953191.48936170212</v>
      </c>
      <c r="M24" s="134">
        <f t="shared" si="1"/>
        <v>-1573430.2023871313</v>
      </c>
      <c r="N24" s="27">
        <f>(ACashFlow+InvestmentAInterest)*(1-TaxRate)</f>
        <v>762553.19148936169</v>
      </c>
      <c r="O24" s="134">
        <f t="shared" si="2"/>
        <v>-3479813.1811105399</v>
      </c>
      <c r="P24" s="27">
        <f>IF(I24&lt;6,BCashFlow1,BCashFlow2)</f>
        <v>5000000</v>
      </c>
      <c r="Q24" s="134">
        <f t="shared" si="3"/>
        <v>21120913.336792942</v>
      </c>
      <c r="R24" s="27">
        <f>IF($I24&lt;6,BCashFlow1,BCashFlow2)+InvestmentBInterest</f>
        <v>4240425.5319148935</v>
      </c>
      <c r="S24" s="134">
        <f t="shared" si="4"/>
        <v>13525168.655941878</v>
      </c>
      <c r="T24" s="27">
        <f>(IF($I24&lt;6,BCashFlow1,BCashFlow2)+InvestmentBInterest)*(1-TaxRate)</f>
        <v>3392340.4255319149</v>
      </c>
      <c r="U24" s="135">
        <f t="shared" si="5"/>
        <v>7044317.5921120904</v>
      </c>
      <c r="V24" s="76" t="s">
        <v>28</v>
      </c>
      <c r="W24" s="84">
        <v>25000000</v>
      </c>
    </row>
    <row r="25" spans="2:38" x14ac:dyDescent="0.2">
      <c r="I25" s="53" t="s">
        <v>22</v>
      </c>
      <c r="J25" s="26">
        <f>SUM(J14:J24)</f>
        <v>2894654.9039958473</v>
      </c>
      <c r="K25" s="47" cm="1">
        <f t="array" ref="K25">IFERROR(MATCH(TRUE, K14:K24&gt;=0, 0) - 1 + (ABS(INDEX(K14:K24, MATCH(TRUE, K14:K24&gt;=0, 0)-1)) / INDEX(J14:J24, MATCH(TRUE, K14:K24&gt;=0, 0)))-1, "No Payback")</f>
        <v>7.9323893542886807</v>
      </c>
      <c r="L25" s="26">
        <f>SUM(L14:L24)</f>
        <v>-1573430.2023871313</v>
      </c>
      <c r="M25" s="47" t="str" cm="1">
        <f t="array" ref="M25">IFERROR(MATCH(TRUE, M14:M24&gt;=0, 0) - 1 + (ABS(INDEX(M14:M24, MATCH(TRUE, M14:M24&gt;=0, 0)-1)) / INDEX(L14:L24, MATCH(TRUE, M14:M24&gt;=0, 0)))-1, "No Payback")</f>
        <v>No Payback</v>
      </c>
      <c r="N25" s="26">
        <f>SUM(N14:N24)</f>
        <v>-3479813.1811105399</v>
      </c>
      <c r="O25" s="71" t="str" cm="1">
        <f t="array" ref="O25">IFERROR(MATCH(TRUE, O14:O24&gt;=0, 0) - 1 + (ABS(INDEX(O14:O24, MATCH(TRUE, O14:O24&gt;=0, 0)-1)) / INDEX(N14:N24, MATCH(TRUE, O14:O24&gt;=0, 0)))-1, "No Payback")</f>
        <v>No Payback</v>
      </c>
      <c r="P25" s="26">
        <f>SUM(P14:P24)</f>
        <v>21120913.336792942</v>
      </c>
      <c r="Q25" s="47" cm="1">
        <f t="array" ref="Q25">IFERROR(MATCH(TRUE, Q14:Q24&gt;=0, 0) - 1 + (ABS(INDEX(Q14:Q24, MATCH(TRUE, Q14:Q24&gt;=0, 0)-1)) / INDEX(P14:P24, MATCH(TRUE, Q14:Q24&gt;=0, 0)))-1, "No Payback")</f>
        <v>5.7758173326414113</v>
      </c>
      <c r="R25" s="26">
        <f>SUM(R14:R24)</f>
        <v>13525168.655941878</v>
      </c>
      <c r="S25" s="47" cm="1">
        <f t="array" ref="S25">IFERROR(MATCH(TRUE, S14:S24&gt;=0, 0) - 1 + (ABS(INDEX(S14:S24, MATCH(TRUE, S14:S24&gt;=0, 0)-1)) / INDEX(R14:R24, MATCH(TRUE, S14:S24&gt;=0, 0)))-1, "No Payback")</f>
        <v>6.8104218423017144</v>
      </c>
      <c r="T25" s="26">
        <f>SUM(T14:T24)</f>
        <v>7044317.5921120904</v>
      </c>
      <c r="U25" s="34" cm="1">
        <f t="array" ref="U25">IFERROR(MATCH(TRUE, U14:U24&gt;=0, 0) - 1 + (ABS(INDEX(U14:U24, MATCH(TRUE, U14:U24&gt;=0, 0)-1)) / INDEX(T14:T24, MATCH(TRUE, U14:U24&gt;=0, 0)))-1, "No Payback")</f>
        <v>7.923463830724609</v>
      </c>
      <c r="V25" s="76" t="s">
        <v>29</v>
      </c>
      <c r="W25" s="84">
        <v>100</v>
      </c>
    </row>
    <row r="26" spans="2:38" x14ac:dyDescent="0.2">
      <c r="I26" s="54"/>
      <c r="J26" s="101">
        <f>-ACashFlow/InvestmentAInterest</f>
        <v>3.1333333333333333</v>
      </c>
      <c r="K26" s="69">
        <f>IRR(J14:J24)</f>
        <v>4.4495324109798062E-2</v>
      </c>
      <c r="L26" s="101">
        <f>-AVERAGE(L15:L24)/InvestmentAInterest</f>
        <v>2.1333333333333333</v>
      </c>
      <c r="M26" s="69">
        <f>IRR(L14:L24)</f>
        <v>-2.6855675354528263E-2</v>
      </c>
      <c r="N26" s="101">
        <f>-AVERAGE(N15:N24)/InvestmentAInterest</f>
        <v>1.7066666666666663</v>
      </c>
      <c r="O26" s="69">
        <f>IRR(N14:N24)</f>
        <v>-6.3096832717017493E-2</v>
      </c>
      <c r="P26" s="101">
        <f>-AVERAGE(P15:P24)/InvestmentBInterest</f>
        <v>5.2661064425770308</v>
      </c>
      <c r="Q26" s="69">
        <f>IRR(P14:P24)</f>
        <v>0.14398490231178984</v>
      </c>
      <c r="R26" s="101">
        <f>-AVERAGE(R15:R24)/InvestmentBInterest</f>
        <v>4.2661064425770308</v>
      </c>
      <c r="S26" s="69">
        <f>IRR(R14:R24)</f>
        <v>9.5692053972355584E-2</v>
      </c>
      <c r="T26" s="101">
        <f>-AVERAGE(T15:T24)/InvestmentBInterest</f>
        <v>3.4128851540616254</v>
      </c>
      <c r="U26" s="88">
        <f>IRR(T14:T24)</f>
        <v>5.3646911458986812E-2</v>
      </c>
      <c r="V26" s="76" t="s">
        <v>30</v>
      </c>
      <c r="W26" s="85">
        <v>0.82</v>
      </c>
    </row>
    <row r="27" spans="2:38" x14ac:dyDescent="0.2">
      <c r="B27" s="15"/>
      <c r="D27" s="7"/>
      <c r="I27" s="55"/>
      <c r="J27" s="61" t="s">
        <v>56</v>
      </c>
      <c r="K27" s="60" t="s">
        <v>61</v>
      </c>
      <c r="L27" s="61" t="s">
        <v>56</v>
      </c>
      <c r="M27" s="60" t="s">
        <v>61</v>
      </c>
      <c r="N27" s="61" t="s">
        <v>56</v>
      </c>
      <c r="O27" s="60" t="s">
        <v>61</v>
      </c>
      <c r="P27" s="61" t="s">
        <v>56</v>
      </c>
      <c r="Q27" s="60" t="s">
        <v>61</v>
      </c>
      <c r="R27" s="61" t="s">
        <v>56</v>
      </c>
      <c r="S27" s="60" t="s">
        <v>61</v>
      </c>
      <c r="T27" s="61" t="s">
        <v>56</v>
      </c>
      <c r="U27" s="59" t="s">
        <v>61</v>
      </c>
      <c r="V27" s="76" t="s">
        <v>31</v>
      </c>
      <c r="W27" s="86">
        <v>250000</v>
      </c>
    </row>
    <row r="28" spans="2:38" x14ac:dyDescent="0.2">
      <c r="I28" s="56" t="s">
        <v>57</v>
      </c>
      <c r="J28" s="36">
        <f>NPV(WACC,J15:J24)+ATotalInvestment</f>
        <v>-1639131.3306741733</v>
      </c>
      <c r="K28" s="65">
        <f>NPV(RequiredReturn,J15:J24)+ATotalInvestment</f>
        <v>-3802783.191193142</v>
      </c>
      <c r="L28" s="36">
        <f>NPV(WACC,L15:L24)+ATotalInvestment</f>
        <v>-4660263.3834390603</v>
      </c>
      <c r="M28" s="65">
        <f>NPV(RequiredReturn,L15:L24)+ATotalInvestment</f>
        <v>-6133388.0544306999</v>
      </c>
      <c r="N28" s="36">
        <f>NPV(WACC,N15:N24)+ATotalInvestment</f>
        <v>-5949279.7259520786</v>
      </c>
      <c r="O28" s="65">
        <f>NPV(RequiredReturn,N15:N24)+ATotalInvestment</f>
        <v>-7127779.462745389</v>
      </c>
      <c r="P28" s="36">
        <f>NPV(WACC,P15:P24)+BTotalInvestment</f>
        <v>6907670.3861338012</v>
      </c>
      <c r="Q28" s="65">
        <f>NPV(RequiredReturn,P15:P24)+BTotalInvestment</f>
        <v>335329.63054391369</v>
      </c>
      <c r="R28" s="36">
        <f>NPV(WACC,R15:R24)+BTotalInvestment</f>
        <v>1771745.896433495</v>
      </c>
      <c r="S28" s="65">
        <f>NPV(RequiredReturn,R15:R24)+BTotalInvestment</f>
        <v>-3626698.6369599309</v>
      </c>
      <c r="T28" s="36">
        <f>NPV(WACC,T15:T24)+BTotalInvestment</f>
        <v>-2358420.6154946126</v>
      </c>
      <c r="U28" s="38">
        <f>NPV(RequiredReturn,T15:T24)+BTotalInvestment</f>
        <v>-6677176.2422093563</v>
      </c>
      <c r="V28" s="76" t="s">
        <v>32</v>
      </c>
      <c r="W28" s="84">
        <f>W27*W25*W26</f>
        <v>20500000</v>
      </c>
    </row>
    <row r="29" spans="2:38" x14ac:dyDescent="0.2">
      <c r="I29" s="56" t="s">
        <v>58</v>
      </c>
      <c r="J29" s="66">
        <f>-NPV(WACC,J15:J24)/ATotalInvestment</f>
        <v>0.85240158531733035</v>
      </c>
      <c r="K29" s="31">
        <f>-NPV(RequiredReturn,J15:J24)/ATotalInvestment</f>
        <v>0.65757181264349607</v>
      </c>
      <c r="L29" s="66">
        <f>-NPV(WACC,L15:L24)/L14</f>
        <v>0.58035852617350148</v>
      </c>
      <c r="M29" s="31">
        <f>(M28+-M14)/-M14</f>
        <v>0.44770846818280574</v>
      </c>
      <c r="N29" s="66">
        <f>(N28+-N14)/-N14</f>
        <v>0.46428682093880119</v>
      </c>
      <c r="O29" s="31">
        <f>(O28+-O14)/-O14</f>
        <v>0.35816677454624474</v>
      </c>
      <c r="P29" s="66">
        <f>(P28+-P14)/-P14</f>
        <v>1.3658900724046135</v>
      </c>
      <c r="Q29" s="31">
        <f>(Q28+-Q14)/-Q14</f>
        <v>1.0177619625634449</v>
      </c>
      <c r="R29" s="66">
        <f>(R28+-R14)/-R14</f>
        <v>1.0938470132607847</v>
      </c>
      <c r="S29" s="31">
        <f>(S28+-S14)/-S14</f>
        <v>0.80789861810275465</v>
      </c>
      <c r="T29" s="66">
        <f>(T28+-T14)/-T14</f>
        <v>0.87507761060862788</v>
      </c>
      <c r="U29" s="30">
        <f>(U28+-U14)/-U14</f>
        <v>0.6463188944822037</v>
      </c>
      <c r="V29" s="78" t="s">
        <v>38</v>
      </c>
      <c r="W29" s="90">
        <v>0.3</v>
      </c>
    </row>
    <row r="30" spans="2:38" ht="16" thickBot="1" x14ac:dyDescent="0.25">
      <c r="I30" s="57" t="s">
        <v>59</v>
      </c>
      <c r="J30" s="67">
        <f>MIRR(J14:J24,ABAfterTaxDebtCost,WACC)</f>
        <v>6.1224866479722584E-2</v>
      </c>
      <c r="K30" s="32">
        <f>MIRR(J14:J24,ABAfterTaxDebtCost,RequiredReturn)</f>
        <v>9.3198860143089091E-2</v>
      </c>
      <c r="L30" s="67">
        <f>MIRR(L14:L24,ABAfterTaxDebtCost,WACC)</f>
        <v>2.1204288177469666E-2</v>
      </c>
      <c r="M30" s="32">
        <f>MIRR(L14:L24,ABAfterTaxDebtCost,RequiredReturn)</f>
        <v>5.1972488650854354E-2</v>
      </c>
      <c r="N30" s="67">
        <f>MIRR(N14:N24,ABAfterTaxDebtCost,WACC)</f>
        <v>-1.3308632146965538E-3</v>
      </c>
      <c r="O30" s="32">
        <f>MIRR(N14:N24,ABAfterTaxDebtCost,RequiredReturn)</f>
        <v>2.8758368257324474E-2</v>
      </c>
      <c r="P30" s="67">
        <f>MIRR(P14:P24,ABAfterTaxDebtCost,WACC)</f>
        <v>0.11246041866676348</v>
      </c>
      <c r="Q30" s="32">
        <f>MIRR(P14:P24,ABAfterTaxDebtCost,RequiredReturn)</f>
        <v>0.14200885898389348</v>
      </c>
      <c r="R30" s="67">
        <f>MIRR(R14:R24,ABAfterTaxDebtCost,WACC)</f>
        <v>8.8024441260640351E-2</v>
      </c>
      <c r="S30" s="32">
        <f>MIRR(R14:R24,ABAfterTaxDebtCost,RequiredReturn)</f>
        <v>0.11593921129361529</v>
      </c>
      <c r="T30" s="67">
        <f>MIRR(T14:T24,ABAfterTaxDebtCost,WACC)</f>
        <v>6.4014754084390946E-2</v>
      </c>
      <c r="U30" s="91">
        <f>MIRR(T14:T24,ABAfterTaxDebtCost,RequiredReturn)</f>
        <v>9.1313522425977345E-2</v>
      </c>
      <c r="V30" s="89" t="s">
        <v>52</v>
      </c>
      <c r="W30" s="25"/>
    </row>
    <row r="31" spans="2:38" ht="16" thickBot="1" x14ac:dyDescent="0.25">
      <c r="I31" s="9"/>
      <c r="J31" s="10"/>
      <c r="K31" s="10"/>
      <c r="L31" s="10"/>
      <c r="M31" s="10"/>
      <c r="N31" s="10"/>
      <c r="O31" s="10"/>
      <c r="P31" s="10"/>
      <c r="Q31" s="18"/>
      <c r="R31" s="19"/>
      <c r="S31" s="18"/>
      <c r="T31" s="18"/>
      <c r="U31" s="19"/>
      <c r="V31" s="76" t="s">
        <v>35</v>
      </c>
      <c r="W31" s="84">
        <v>10000000</v>
      </c>
    </row>
    <row r="32" spans="2:38" ht="19" x14ac:dyDescent="0.25">
      <c r="I32" s="10"/>
      <c r="J32" s="58"/>
      <c r="K32" s="49"/>
      <c r="L32" s="72" t="s">
        <v>76</v>
      </c>
      <c r="M32" s="49"/>
      <c r="N32" s="49"/>
      <c r="O32" s="50"/>
      <c r="P32" s="138" t="s">
        <v>102</v>
      </c>
      <c r="Q32" s="139" t="b">
        <v>0</v>
      </c>
      <c r="R32" s="72" t="s">
        <v>77</v>
      </c>
      <c r="S32" s="49"/>
      <c r="T32" s="137"/>
      <c r="U32" s="50"/>
      <c r="V32" s="76" t="s">
        <v>36</v>
      </c>
      <c r="W32" s="85">
        <v>0.08</v>
      </c>
    </row>
    <row r="33" spans="4:23" x14ac:dyDescent="0.2">
      <c r="I33" s="18"/>
      <c r="J33" s="46" t="s">
        <v>55</v>
      </c>
      <c r="K33" s="40" t="s">
        <v>34</v>
      </c>
      <c r="L33" s="40" t="s">
        <v>54</v>
      </c>
      <c r="M33" s="40" t="s">
        <v>42</v>
      </c>
      <c r="N33" s="62" t="s">
        <v>63</v>
      </c>
      <c r="O33" s="70"/>
      <c r="P33" s="46" t="s">
        <v>55</v>
      </c>
      <c r="Q33" s="40" t="s">
        <v>34</v>
      </c>
      <c r="R33" s="40" t="s">
        <v>54</v>
      </c>
      <c r="S33" s="40" t="s">
        <v>42</v>
      </c>
      <c r="T33" s="62" t="s">
        <v>63</v>
      </c>
      <c r="U33" s="70"/>
      <c r="V33" s="92" t="s">
        <v>48</v>
      </c>
      <c r="W33" s="93">
        <f>CreditInterest*(1-TaxRate)</f>
        <v>6.4000000000000001E-2</v>
      </c>
    </row>
    <row r="34" spans="4:23" ht="16" thickBot="1" x14ac:dyDescent="0.25">
      <c r="I34" s="18"/>
      <c r="J34" s="36">
        <f>InvestmentCCost</f>
        <v>-4500000</v>
      </c>
      <c r="K34" s="28">
        <f>-InvestmentCCost</f>
        <v>4500000</v>
      </c>
      <c r="L34" s="38">
        <f>InvestmentCCost*CreditInterest</f>
        <v>-360000</v>
      </c>
      <c r="M34" s="38">
        <v>0</v>
      </c>
      <c r="N34" s="37" t="s">
        <v>65</v>
      </c>
      <c r="O34" s="65">
        <f>F10</f>
        <v>8000000</v>
      </c>
      <c r="P34" s="36">
        <f>InvestmentDCost</f>
        <v>-3000000</v>
      </c>
      <c r="Q34" s="28">
        <f>IF(Q32=TRUE,-InvestmentDCost,0)</f>
        <v>0</v>
      </c>
      <c r="R34" s="38">
        <f>IF(Q32=TRUE,InvestmentDCost*CreditInterest,0)</f>
        <v>0</v>
      </c>
      <c r="S34" s="38">
        <f>IF(Q32=TRUE,0,-P34/StockParRate)</f>
        <v>3658536.5853658537</v>
      </c>
      <c r="T34" s="37" t="s">
        <v>64</v>
      </c>
      <c r="U34" s="65">
        <f>G10</f>
        <v>600000</v>
      </c>
      <c r="V34" s="75" t="s">
        <v>73</v>
      </c>
      <c r="W34" s="23"/>
    </row>
    <row r="35" spans="4:23" x14ac:dyDescent="0.2">
      <c r="D35" s="22"/>
      <c r="I35" s="58"/>
      <c r="J35" s="73" t="s">
        <v>71</v>
      </c>
      <c r="K35" s="50"/>
      <c r="L35" s="73" t="s">
        <v>70</v>
      </c>
      <c r="M35" s="50"/>
      <c r="N35" s="73" t="s">
        <v>99</v>
      </c>
      <c r="O35" s="50"/>
      <c r="P35" s="73" t="s">
        <v>71</v>
      </c>
      <c r="Q35" s="50"/>
      <c r="R35" s="73" t="s">
        <v>100</v>
      </c>
      <c r="S35" s="50"/>
      <c r="T35" s="73" t="s">
        <v>69</v>
      </c>
      <c r="U35" s="50"/>
      <c r="V35" s="130" t="s">
        <v>46</v>
      </c>
      <c r="W35" s="81">
        <f>SUM(O60:O61)/SUM(O60:O61,M60:M61)</f>
        <v>0.55156950672645733</v>
      </c>
    </row>
    <row r="36" spans="4:23" x14ac:dyDescent="0.2">
      <c r="I36" s="51" t="s">
        <v>6</v>
      </c>
      <c r="J36" s="51" t="s">
        <v>39</v>
      </c>
      <c r="K36" s="52" t="s">
        <v>53</v>
      </c>
      <c r="L36" s="51" t="s">
        <v>39</v>
      </c>
      <c r="M36" s="52" t="s">
        <v>53</v>
      </c>
      <c r="N36" s="51" t="s">
        <v>39</v>
      </c>
      <c r="O36" s="52" t="s">
        <v>53</v>
      </c>
      <c r="P36" s="51" t="s">
        <v>39</v>
      </c>
      <c r="Q36" s="52" t="s">
        <v>53</v>
      </c>
      <c r="R36" s="51" t="s">
        <v>39</v>
      </c>
      <c r="S36" s="52" t="s">
        <v>53</v>
      </c>
      <c r="T36" s="51" t="s">
        <v>39</v>
      </c>
      <c r="U36" s="52" t="s">
        <v>53</v>
      </c>
      <c r="V36" s="130" t="s">
        <v>47</v>
      </c>
      <c r="W36" s="81">
        <f>SUM(M60:M61)/SUM(M60:M61,O60:O61)</f>
        <v>0.44843049327354256</v>
      </c>
    </row>
    <row r="37" spans="4:23" x14ac:dyDescent="0.2">
      <c r="I37" s="95">
        <v>0</v>
      </c>
      <c r="J37" s="26">
        <f>InvestmentCCost</f>
        <v>-4500000</v>
      </c>
      <c r="K37" s="65">
        <f>J37</f>
        <v>-4500000</v>
      </c>
      <c r="L37" s="26">
        <f>InvestmentCCost</f>
        <v>-4500000</v>
      </c>
      <c r="M37" s="65">
        <f>L37</f>
        <v>-4500000</v>
      </c>
      <c r="N37" s="26">
        <f>InvestmentCCost</f>
        <v>-4500000</v>
      </c>
      <c r="O37" s="65">
        <f>N37</f>
        <v>-4500000</v>
      </c>
      <c r="P37" s="26">
        <f>-(MAX(Q34,S34))</f>
        <v>-3658536.5853658537</v>
      </c>
      <c r="Q37" s="65">
        <f>P37</f>
        <v>-3658536.5853658537</v>
      </c>
      <c r="R37" s="26">
        <f>-(MAX(S34,Q34))</f>
        <v>-3658536.5853658537</v>
      </c>
      <c r="S37" s="65">
        <f>R37</f>
        <v>-3658536.5853658537</v>
      </c>
      <c r="T37" s="26">
        <f>-(MAX(S34,Q34))</f>
        <v>-3658536.5853658537</v>
      </c>
      <c r="U37" s="65">
        <f>T37</f>
        <v>-3658536.5853658537</v>
      </c>
      <c r="V37" s="131" t="s">
        <v>45</v>
      </c>
      <c r="W37" s="106">
        <f>(W36*RequiredReturn)+(W35*CreditInterest*(1-TaxRate))</f>
        <v>9.8080717488789243E-2</v>
      </c>
    </row>
    <row r="38" spans="4:23" x14ac:dyDescent="0.2">
      <c r="I38" s="95">
        <f>I37+1</f>
        <v>1</v>
      </c>
      <c r="J38" s="26">
        <f>IF(I38&lt;6,CCashFlow,0)</f>
        <v>8000000</v>
      </c>
      <c r="K38" s="65">
        <f>K37+J38</f>
        <v>3500000</v>
      </c>
      <c r="L38" s="28">
        <f>(IF($I38&lt;6,CCashFlow+InvestmentCInterest,0))</f>
        <v>7640000</v>
      </c>
      <c r="M38" s="65">
        <f>M37+L38</f>
        <v>3140000</v>
      </c>
      <c r="N38" s="28">
        <f>(IF($I38&lt;6,(CCashFlow+InvestmentCInterest)*(1-TaxRate),0))</f>
        <v>6112000</v>
      </c>
      <c r="O38" s="65">
        <f>O37+N38</f>
        <v>1612000</v>
      </c>
      <c r="P38" s="26">
        <f>DCashFlow</f>
        <v>600000</v>
      </c>
      <c r="Q38" s="65">
        <f>Q37+DCashFlow</f>
        <v>-3058536.5853658537</v>
      </c>
      <c r="R38" s="26">
        <f>DCashFlow+InvestmentDInterest</f>
        <v>600000</v>
      </c>
      <c r="S38" s="65">
        <f>S37+R38</f>
        <v>-3058536.5853658537</v>
      </c>
      <c r="T38" s="26">
        <f>(DCashFlow+InvestmentDInterest)*(1-TaxRate)</f>
        <v>480000</v>
      </c>
      <c r="U38" s="65">
        <f>U37+T38</f>
        <v>-3178536.5853658537</v>
      </c>
      <c r="V38" s="19"/>
      <c r="W38" s="19"/>
    </row>
    <row r="39" spans="4:23" x14ac:dyDescent="0.2">
      <c r="I39" s="95">
        <f t="shared" ref="I39:I47" si="7">I38+1</f>
        <v>2</v>
      </c>
      <c r="J39" s="26">
        <f>IF(I39&lt;6,CCashFlow,0)</f>
        <v>8000000</v>
      </c>
      <c r="K39" s="65">
        <f t="shared" ref="K39:K47" si="8">K38+J39</f>
        <v>11500000</v>
      </c>
      <c r="L39" s="28">
        <f>(IF($I39&lt;6,CCashFlow+InvestmentCInterest,0))</f>
        <v>7640000</v>
      </c>
      <c r="M39" s="65">
        <f t="shared" ref="M39:M47" si="9">M38+L39</f>
        <v>10780000</v>
      </c>
      <c r="N39" s="28">
        <f>(IF($I39&lt;6,(CCashFlow+InvestmentCInterest)*(1-TaxRate),0))</f>
        <v>6112000</v>
      </c>
      <c r="O39" s="65">
        <f t="shared" ref="O39:O47" si="10">O38+N39</f>
        <v>7724000</v>
      </c>
      <c r="P39" s="26">
        <f>DCashFlow</f>
        <v>600000</v>
      </c>
      <c r="Q39" s="65">
        <f>Q38+DCashFlow</f>
        <v>-2458536.5853658537</v>
      </c>
      <c r="R39" s="26">
        <f>DCashFlow+InvestmentDInterest</f>
        <v>600000</v>
      </c>
      <c r="S39" s="65">
        <f t="shared" ref="S39:S47" si="11">S38+R39</f>
        <v>-2458536.5853658537</v>
      </c>
      <c r="T39" s="26">
        <f>(DCashFlow+InvestmentDInterest)*(1-TaxRate)</f>
        <v>480000</v>
      </c>
      <c r="U39" s="65">
        <f t="shared" ref="U39:U47" si="12">U38+T39</f>
        <v>-2698536.5853658537</v>
      </c>
      <c r="V39" s="19"/>
      <c r="W39" s="19"/>
    </row>
    <row r="40" spans="4:23" x14ac:dyDescent="0.2">
      <c r="I40" s="95">
        <f t="shared" si="7"/>
        <v>3</v>
      </c>
      <c r="J40" s="26">
        <f>IF(I40&lt;6,CCashFlow,0)</f>
        <v>8000000</v>
      </c>
      <c r="K40" s="65">
        <f t="shared" si="8"/>
        <v>19500000</v>
      </c>
      <c r="L40" s="28">
        <f>(IF($I40&lt;6,CCashFlow+InvestmentCInterest,0))</f>
        <v>7640000</v>
      </c>
      <c r="M40" s="65">
        <f t="shared" si="9"/>
        <v>18420000</v>
      </c>
      <c r="N40" s="28">
        <f>(IF($I40&lt;6,(CCashFlow+InvestmentCInterest)*(1-TaxRate),0))</f>
        <v>6112000</v>
      </c>
      <c r="O40" s="65">
        <f t="shared" si="10"/>
        <v>13836000</v>
      </c>
      <c r="P40" s="26">
        <f>DCashFlow</f>
        <v>600000</v>
      </c>
      <c r="Q40" s="65">
        <f>Q39+DCashFlow</f>
        <v>-1858536.5853658537</v>
      </c>
      <c r="R40" s="26">
        <f>DCashFlow+InvestmentDInterest</f>
        <v>600000</v>
      </c>
      <c r="S40" s="65">
        <f t="shared" si="11"/>
        <v>-1858536.5853658537</v>
      </c>
      <c r="T40" s="26">
        <f>(DCashFlow+InvestmentDInterest)*(1-TaxRate)</f>
        <v>480000</v>
      </c>
      <c r="U40" s="65">
        <f t="shared" si="12"/>
        <v>-2218536.5853658537</v>
      </c>
      <c r="V40" s="19"/>
      <c r="W40" s="19"/>
    </row>
    <row r="41" spans="4:23" x14ac:dyDescent="0.2">
      <c r="I41" s="95">
        <f t="shared" si="7"/>
        <v>4</v>
      </c>
      <c r="J41" s="26">
        <f>IF(I41&lt;6,CCashFlow,0)</f>
        <v>8000000</v>
      </c>
      <c r="K41" s="65">
        <f t="shared" si="8"/>
        <v>27500000</v>
      </c>
      <c r="L41" s="28">
        <f>(IF($I41&lt;6,CCashFlow+InvestmentCInterest,0))</f>
        <v>7640000</v>
      </c>
      <c r="M41" s="65">
        <f t="shared" si="9"/>
        <v>26060000</v>
      </c>
      <c r="N41" s="28">
        <f>(IF($I41&lt;6,(CCashFlow+InvestmentCInterest)*(1-TaxRate),0))</f>
        <v>6112000</v>
      </c>
      <c r="O41" s="65">
        <f t="shared" si="10"/>
        <v>19948000</v>
      </c>
      <c r="P41" s="26">
        <f>DCashFlow</f>
        <v>600000</v>
      </c>
      <c r="Q41" s="65">
        <f>Q40+DCashFlow</f>
        <v>-1258536.5853658537</v>
      </c>
      <c r="R41" s="26">
        <f>DCashFlow+InvestmentDInterest</f>
        <v>600000</v>
      </c>
      <c r="S41" s="65">
        <f t="shared" si="11"/>
        <v>-1258536.5853658537</v>
      </c>
      <c r="T41" s="26">
        <f>(DCashFlow+InvestmentDInterest)*(1-TaxRate)</f>
        <v>480000</v>
      </c>
      <c r="U41" s="65">
        <f t="shared" si="12"/>
        <v>-1738536.5853658537</v>
      </c>
      <c r="V41" s="19"/>
      <c r="W41" s="9"/>
    </row>
    <row r="42" spans="4:23" x14ac:dyDescent="0.2">
      <c r="I42" s="95">
        <f t="shared" si="7"/>
        <v>5</v>
      </c>
      <c r="J42" s="26">
        <f>IF(I42&lt;6,CCashFlow,0)</f>
        <v>8000000</v>
      </c>
      <c r="K42" s="65">
        <f t="shared" si="8"/>
        <v>35500000</v>
      </c>
      <c r="L42" s="28">
        <f>(IF($I42&lt;6,CCashFlow+InvestmentCInterest,0))</f>
        <v>7640000</v>
      </c>
      <c r="M42" s="65">
        <f t="shared" si="9"/>
        <v>33700000</v>
      </c>
      <c r="N42" s="28">
        <f>(IF($I42&lt;6,(CCashFlow+InvestmentCInterest)*(1-TaxRate),0))</f>
        <v>6112000</v>
      </c>
      <c r="O42" s="65">
        <f t="shared" si="10"/>
        <v>26060000</v>
      </c>
      <c r="P42" s="26">
        <f>DCashFlow</f>
        <v>600000</v>
      </c>
      <c r="Q42" s="65">
        <f>Q41+DCashFlow</f>
        <v>-658536.58536585374</v>
      </c>
      <c r="R42" s="26">
        <f>DCashFlow+InvestmentDInterest</f>
        <v>600000</v>
      </c>
      <c r="S42" s="65">
        <f t="shared" si="11"/>
        <v>-658536.58536585374</v>
      </c>
      <c r="T42" s="26">
        <f>(DCashFlow+InvestmentDInterest)*(1-TaxRate)</f>
        <v>480000</v>
      </c>
      <c r="U42" s="65">
        <f t="shared" si="12"/>
        <v>-1258536.5853658537</v>
      </c>
      <c r="V42" s="19"/>
      <c r="W42" s="9"/>
    </row>
    <row r="43" spans="4:23" x14ac:dyDescent="0.2">
      <c r="I43" s="95">
        <f t="shared" si="7"/>
        <v>6</v>
      </c>
      <c r="J43" s="26">
        <f>IF(I43&lt;6,CCashFlow,0)</f>
        <v>0</v>
      </c>
      <c r="K43" s="65">
        <f t="shared" si="8"/>
        <v>35500000</v>
      </c>
      <c r="L43" s="28">
        <f>(IF($I43&lt;6,CCashFlow+InvestmentCInterest,0))</f>
        <v>0</v>
      </c>
      <c r="M43" s="65">
        <f t="shared" si="9"/>
        <v>33700000</v>
      </c>
      <c r="N43" s="28">
        <f>(IF($I43&lt;6,CCashFlow+InvestmentCInterest*(1-TaxRate),0))</f>
        <v>0</v>
      </c>
      <c r="O43" s="65">
        <f t="shared" si="10"/>
        <v>26060000</v>
      </c>
      <c r="P43" s="26">
        <f>DCashFlow</f>
        <v>600000</v>
      </c>
      <c r="Q43" s="65">
        <f>Q42+DCashFlow</f>
        <v>-58536.585365853738</v>
      </c>
      <c r="R43" s="26">
        <f>DCashFlow+InvestmentDInterest</f>
        <v>600000</v>
      </c>
      <c r="S43" s="65">
        <f t="shared" si="11"/>
        <v>-58536.585365853738</v>
      </c>
      <c r="T43" s="26">
        <f>(DCashFlow+InvestmentDInterest)*(1-TaxRate)</f>
        <v>480000</v>
      </c>
      <c r="U43" s="65">
        <f t="shared" si="12"/>
        <v>-778536.58536585374</v>
      </c>
      <c r="V43" s="19"/>
      <c r="W43" s="9"/>
    </row>
    <row r="44" spans="4:23" x14ac:dyDescent="0.2">
      <c r="I44" s="95">
        <f t="shared" si="7"/>
        <v>7</v>
      </c>
      <c r="J44" s="26">
        <f>IF(I44&lt;6,CCashFlow,0)</f>
        <v>0</v>
      </c>
      <c r="K44" s="65">
        <f t="shared" si="8"/>
        <v>35500000</v>
      </c>
      <c r="L44" s="28">
        <f>(IF($I44&lt;6,CCashFlow+InvestmentCInterest,0))</f>
        <v>0</v>
      </c>
      <c r="M44" s="65">
        <f t="shared" si="9"/>
        <v>33700000</v>
      </c>
      <c r="N44" s="28">
        <f>(IF($I44&lt;6,(CCashFlow+InvestmentCInterest)*(1-TaxRate),0))</f>
        <v>0</v>
      </c>
      <c r="O44" s="65">
        <f t="shared" si="10"/>
        <v>26060000</v>
      </c>
      <c r="P44" s="26">
        <f>DCashFlow</f>
        <v>600000</v>
      </c>
      <c r="Q44" s="65">
        <f>Q43+DCashFlow</f>
        <v>541463.41463414626</v>
      </c>
      <c r="R44" s="26">
        <f>DCashFlow+InvestmentDInterest</f>
        <v>600000</v>
      </c>
      <c r="S44" s="65">
        <f t="shared" si="11"/>
        <v>541463.41463414626</v>
      </c>
      <c r="T44" s="26">
        <f>(DCashFlow+InvestmentDInterest)*(1-TaxRate)</f>
        <v>480000</v>
      </c>
      <c r="U44" s="65">
        <f t="shared" si="12"/>
        <v>-298536.58536585374</v>
      </c>
      <c r="V44" s="9"/>
      <c r="W44" s="17"/>
    </row>
    <row r="45" spans="4:23" x14ac:dyDescent="0.2">
      <c r="I45" s="95">
        <f t="shared" si="7"/>
        <v>8</v>
      </c>
      <c r="J45" s="26">
        <f>IF(I45&lt;6,CCashFlow,0)</f>
        <v>0</v>
      </c>
      <c r="K45" s="65">
        <f t="shared" si="8"/>
        <v>35500000</v>
      </c>
      <c r="L45" s="28">
        <f>(IF($I45&lt;6,CCashFlow+InvestmentCInterest,0))</f>
        <v>0</v>
      </c>
      <c r="M45" s="65">
        <f t="shared" si="9"/>
        <v>33700000</v>
      </c>
      <c r="N45" s="28">
        <f>(IF($I45&lt;6,(CCashFlow+InvestmentCInterest)*(1-TaxRate),0))</f>
        <v>0</v>
      </c>
      <c r="O45" s="65">
        <f t="shared" si="10"/>
        <v>26060000</v>
      </c>
      <c r="P45" s="26">
        <f>DCashFlow</f>
        <v>600000</v>
      </c>
      <c r="Q45" s="65">
        <f>Q44+DCashFlow</f>
        <v>1141463.4146341463</v>
      </c>
      <c r="R45" s="26">
        <f>DCashFlow+InvestmentDInterest</f>
        <v>600000</v>
      </c>
      <c r="S45" s="65">
        <f t="shared" si="11"/>
        <v>1141463.4146341463</v>
      </c>
      <c r="T45" s="26">
        <f>(DCashFlow+InvestmentDInterest)*(1-TaxRate)</f>
        <v>480000</v>
      </c>
      <c r="U45" s="65">
        <f t="shared" si="12"/>
        <v>181463.41463414626</v>
      </c>
      <c r="V45" s="21"/>
      <c r="W45" s="9"/>
    </row>
    <row r="46" spans="4:23" x14ac:dyDescent="0.2">
      <c r="I46" s="95">
        <f t="shared" si="7"/>
        <v>9</v>
      </c>
      <c r="J46" s="26">
        <f>IF(I46&lt;6,CCashFlow,0)</f>
        <v>0</v>
      </c>
      <c r="K46" s="65">
        <f t="shared" si="8"/>
        <v>35500000</v>
      </c>
      <c r="L46" s="28">
        <f>(IF($I46&lt;6,CCashFlow+InvestmentCInterest,0))</f>
        <v>0</v>
      </c>
      <c r="M46" s="65">
        <f t="shared" si="9"/>
        <v>33700000</v>
      </c>
      <c r="N46" s="28">
        <f>(IF($I46&lt;6,(CCashFlow+InvestmentCInterest)*(1-TaxRate),0))</f>
        <v>0</v>
      </c>
      <c r="O46" s="65">
        <f t="shared" si="10"/>
        <v>26060000</v>
      </c>
      <c r="P46" s="26">
        <f>DCashFlow</f>
        <v>600000</v>
      </c>
      <c r="Q46" s="65">
        <f>Q45+DCashFlow</f>
        <v>1741463.4146341463</v>
      </c>
      <c r="R46" s="26">
        <f>DCashFlow+InvestmentDInterest</f>
        <v>600000</v>
      </c>
      <c r="S46" s="65">
        <f t="shared" si="11"/>
        <v>1741463.4146341463</v>
      </c>
      <c r="T46" s="26">
        <f>(DCashFlow+InvestmentDInterest)*(1-TaxRate)</f>
        <v>480000</v>
      </c>
      <c r="U46" s="65">
        <f t="shared" si="12"/>
        <v>661463.41463414626</v>
      </c>
      <c r="V46" s="21"/>
      <c r="W46" s="9"/>
    </row>
    <row r="47" spans="4:23" x14ac:dyDescent="0.2">
      <c r="I47" s="95">
        <f t="shared" si="7"/>
        <v>10</v>
      </c>
      <c r="J47" s="27">
        <f>IF(I47&lt;6,CCashFlow,0)</f>
        <v>0</v>
      </c>
      <c r="K47" s="134">
        <f t="shared" si="8"/>
        <v>35500000</v>
      </c>
      <c r="L47" s="27">
        <f>(IF($I47&lt;6,CCashFlow+InvestmentCInterest,0))</f>
        <v>0</v>
      </c>
      <c r="M47" s="134">
        <f t="shared" si="9"/>
        <v>33700000</v>
      </c>
      <c r="N47" s="27">
        <f>(IF($I47&lt;6,(CCashFlow+InvestmentCInterest)*(1-TaxRate),0))</f>
        <v>0</v>
      </c>
      <c r="O47" s="134">
        <f t="shared" si="10"/>
        <v>26060000</v>
      </c>
      <c r="P47" s="27">
        <f>DCashFlow</f>
        <v>600000</v>
      </c>
      <c r="Q47" s="134">
        <f>Q46+DCashFlow</f>
        <v>2341463.4146341463</v>
      </c>
      <c r="R47" s="27">
        <f>DCashFlow+InvestmentDInterest</f>
        <v>600000</v>
      </c>
      <c r="S47" s="134">
        <f t="shared" si="11"/>
        <v>2341463.4146341463</v>
      </c>
      <c r="T47" s="27">
        <f>(DCashFlow+InvestmentDInterest)*(1-TaxRate)</f>
        <v>480000</v>
      </c>
      <c r="U47" s="134">
        <f t="shared" si="12"/>
        <v>1141463.4146341463</v>
      </c>
      <c r="V47" s="9"/>
      <c r="W47" s="9"/>
    </row>
    <row r="48" spans="4:23" x14ac:dyDescent="0.2">
      <c r="I48" s="96" t="s">
        <v>22</v>
      </c>
      <c r="J48" s="26">
        <f>SUM(J37:J47)</f>
        <v>35500000</v>
      </c>
      <c r="K48" s="47" cm="1">
        <f t="array" ref="K48">IFERROR(MATCH(TRUE, K37:K47&gt;=0, 0) - 1 + (ABS(INDEX(K37:K47, MATCH(TRUE, K37:K47&gt;=0, 0)-1)) / INDEX(J37:J47, MATCH(TRUE, K37:K47&gt;=0, 0)))-1, "No Payback")</f>
        <v>0.5625</v>
      </c>
      <c r="L48" s="26">
        <f>SUM(L37:L47)</f>
        <v>33700000</v>
      </c>
      <c r="M48" s="47" cm="1">
        <f t="array" ref="M48">IFERROR(MATCH(TRUE, M37:M47&gt;=0, 0) - 1 + (ABS(INDEX(M37:M47, MATCH(TRUE, M37:M47&gt;=0, 0)-1)) / INDEX(L37:L47, MATCH(TRUE, M37:M47&gt;=0, 0)))-1, "No Payback")</f>
        <v>0.58900523560209428</v>
      </c>
      <c r="N48" s="26">
        <f>SUM(N37:N47)</f>
        <v>26060000</v>
      </c>
      <c r="O48" s="71" cm="1">
        <f t="array" ref="O48">IFERROR(MATCH(TRUE, O37:O47&gt;=0, 0) - 1 + (ABS(INDEX(O37:O47, MATCH(TRUE, O37:O47&gt;=0, 0)-1)) / INDEX(N37:N47, MATCH(TRUE, O37:O47&gt;=0, 0)))-1, "No Payback")</f>
        <v>0.73625654450261768</v>
      </c>
      <c r="P48" s="26">
        <f>SUM(P37:P47)</f>
        <v>2341463.4146341463</v>
      </c>
      <c r="Q48" s="47" cm="1">
        <f t="array" ref="Q48">IFERROR(MATCH(TRUE, Q37:Q47&gt;=0, 0) - 1 + (ABS(INDEX(Q37:Q47, MATCH(TRUE, Q37:Q47&gt;=0, 0)-1)) / INDEX(P37:P47, MATCH(TRUE, Q37:Q47&gt;=0, 0)))-1, "No Payback")</f>
        <v>6.0975609756097562</v>
      </c>
      <c r="R48" s="26">
        <f>SUM(R37:R47)</f>
        <v>2341463.4146341463</v>
      </c>
      <c r="S48" s="47" cm="1">
        <f t="array" ref="S48">IFERROR(MATCH(TRUE, S37:S47&gt;=0, 0) - 1 + (ABS(INDEX(S37:S47, MATCH(TRUE, S37:S47&gt;=0, 0)-1)) / INDEX(R37:R47, MATCH(TRUE, S37:S47&gt;=0, 0)))-1, "No Payback")</f>
        <v>6.0975609756097562</v>
      </c>
      <c r="T48" s="26">
        <f>SUM(T37:T47)</f>
        <v>1141463.4146341463</v>
      </c>
      <c r="U48" s="71" cm="1">
        <f t="array" ref="U48">IFERROR(MATCH(TRUE, U37:U47&gt;=0, 0) - 1 + (ABS(INDEX(U37:U47, MATCH(TRUE, U37:U47&gt;=0, 0)-1)) / INDEX(T37:T47, MATCH(TRUE, U37:U47&gt;=0, 0)))-1, "No Payback")</f>
        <v>7.6219512195121961</v>
      </c>
      <c r="V48" s="9"/>
      <c r="W48" s="9"/>
    </row>
    <row r="49" spans="9:23" x14ac:dyDescent="0.2">
      <c r="I49" s="97"/>
      <c r="J49" s="101">
        <f>-CCashFlow/InvestmentCInterest</f>
        <v>22.222222222222221</v>
      </c>
      <c r="K49" s="69">
        <f>IRR(J37:J47)</f>
        <v>1.7668135511726599</v>
      </c>
      <c r="L49" s="101">
        <f>-AVERAGE(L38:L42)/InvestmentCInterest</f>
        <v>21.222222222222221</v>
      </c>
      <c r="M49" s="69">
        <f>IRR(L37:L47)</f>
        <v>1.6856256174578816</v>
      </c>
      <c r="N49" s="101">
        <f>-AVERAGE(N38:N42)/InvestmentCInterest</f>
        <v>16.977777777777778</v>
      </c>
      <c r="O49" s="69">
        <f>IRR(N37:N47)</f>
        <v>1.3388136898833456</v>
      </c>
      <c r="P49" s="101" t="str">
        <f>IFERROR(-DCashFlow/InvestmentDInterest,"N/A")</f>
        <v>N/A</v>
      </c>
      <c r="Q49" s="69">
        <f>IRR(P37:P47)</f>
        <v>0.10179151890490323</v>
      </c>
      <c r="R49" s="101" t="str">
        <f>IFERROR(-AVERAGE(R38:R47)/InvestmentDInterest,"N/A")</f>
        <v>N/A</v>
      </c>
      <c r="S49" s="69">
        <f>IRR(R37:R47)</f>
        <v>0.10179151890490323</v>
      </c>
      <c r="T49" s="101" t="str">
        <f>IFERROR(-AVERAGE(T38:T47)/InvestmentDInterest,"N/A")</f>
        <v>N/A</v>
      </c>
      <c r="U49" s="69">
        <f>IRR(T37:T47)</f>
        <v>5.2687237755897787E-2</v>
      </c>
      <c r="V49" s="9"/>
      <c r="W49" s="9"/>
    </row>
    <row r="50" spans="9:23" x14ac:dyDescent="0.2">
      <c r="I50" s="98"/>
      <c r="J50" s="61" t="s">
        <v>56</v>
      </c>
      <c r="K50" s="60" t="s">
        <v>61</v>
      </c>
      <c r="L50" s="61" t="s">
        <v>56</v>
      </c>
      <c r="M50" s="60" t="s">
        <v>61</v>
      </c>
      <c r="N50" s="61" t="s">
        <v>56</v>
      </c>
      <c r="O50" s="60" t="s">
        <v>61</v>
      </c>
      <c r="P50" s="61" t="s">
        <v>56</v>
      </c>
      <c r="Q50" s="60" t="s">
        <v>61</v>
      </c>
      <c r="R50" s="61" t="s">
        <v>56</v>
      </c>
      <c r="S50" s="60" t="s">
        <v>61</v>
      </c>
      <c r="T50" s="61" t="s">
        <v>56</v>
      </c>
      <c r="U50" s="60" t="s">
        <v>61</v>
      </c>
      <c r="V50" s="9"/>
      <c r="W50" s="9"/>
    </row>
    <row r="51" spans="9:23" x14ac:dyDescent="0.2">
      <c r="I51" s="99" t="s">
        <v>57</v>
      </c>
      <c r="J51" s="36">
        <f>NPV(CDWACC,J38:J47)+InvestmentCCost</f>
        <v>25975574.940216877</v>
      </c>
      <c r="K51" s="65">
        <f>NPV(RequiredReturn,J38:J47)+InvestmentCCost</f>
        <v>22964647.750867672</v>
      </c>
      <c r="L51" s="36">
        <f>NPV(CDWACC,L38:L47)+InvestmentCCost</f>
        <v>24604174.067907114</v>
      </c>
      <c r="M51" s="65">
        <f>NPV(RequiredReturn,L38:L47)+InvestmentCCost</f>
        <v>21728738.602078632</v>
      </c>
      <c r="N51" s="36">
        <f>NPV(CDWACC,N38:N47)+InvestmentCCost</f>
        <v>18783339.254325692</v>
      </c>
      <c r="O51" s="65">
        <f>NPV(RequiredReturn,N38:N47)+InvestmentCCost</f>
        <v>16482990.881662905</v>
      </c>
      <c r="P51" s="36">
        <f>NPV(CDWACC,P38:P47)+P37</f>
        <v>58797.974229746964</v>
      </c>
      <c r="Q51" s="65">
        <f>NPV(RequiredReturn,P38:P47)+P37</f>
        <v>-528867.19758970663</v>
      </c>
      <c r="R51" s="36">
        <f>NPV(CDWACC,R38:R47)+R37</f>
        <v>58797.974229746964</v>
      </c>
      <c r="S51" s="65">
        <f>NPV(RequiredReturn,R38:R47)+R37</f>
        <v>-528867.19758970663</v>
      </c>
      <c r="T51" s="36">
        <f>NPV(CDWACC,T38:T47)+T37</f>
        <v>-684668.9376893742</v>
      </c>
      <c r="U51" s="65">
        <f>NPV(RequiredReturn,T38:T47)+T37</f>
        <v>-1154801.0751449359</v>
      </c>
      <c r="V51" s="9"/>
      <c r="W51" s="9"/>
    </row>
    <row r="52" spans="9:23" x14ac:dyDescent="0.2">
      <c r="I52" s="99" t="s">
        <v>58</v>
      </c>
      <c r="J52" s="66">
        <f>(J51+-J37)/-J37</f>
        <v>6.7723499867148611</v>
      </c>
      <c r="K52" s="31">
        <f>(K51+-K37)/-K37</f>
        <v>6.103255055748372</v>
      </c>
      <c r="L52" s="66">
        <f>(L51+-L37)/-L37</f>
        <v>6.4675942373126922</v>
      </c>
      <c r="M52" s="31">
        <f>(M51+-M37)/-M37</f>
        <v>5.8286085782396961</v>
      </c>
      <c r="N52" s="66">
        <f>(N51+-N37)/-N37</f>
        <v>5.1740753898501533</v>
      </c>
      <c r="O52" s="31">
        <f>(O51+-O37)/-O37</f>
        <v>4.6628868625917566</v>
      </c>
      <c r="P52" s="66">
        <f>(P51+-P37)/-P37</f>
        <v>1.0160714462894642</v>
      </c>
      <c r="Q52" s="31">
        <f>(Q51+-Q37)/-Q37</f>
        <v>0.85544296599214686</v>
      </c>
      <c r="R52" s="66">
        <f>(R51+-R37)/-R37</f>
        <v>1.0160714462894642</v>
      </c>
      <c r="S52" s="31">
        <f>(S51+-S37)/-S37</f>
        <v>0.85544296599214686</v>
      </c>
      <c r="T52" s="66">
        <f>(T51+-T37)/-T37</f>
        <v>0.81285715703157102</v>
      </c>
      <c r="U52" s="31">
        <f>(U51+-U37)/-U37</f>
        <v>0.68435437279371758</v>
      </c>
      <c r="V52" s="132" t="s">
        <v>101</v>
      </c>
      <c r="W52" s="124"/>
    </row>
    <row r="53" spans="9:23" ht="16" thickBot="1" x14ac:dyDescent="0.25">
      <c r="I53" s="100" t="s">
        <v>59</v>
      </c>
      <c r="J53" s="67">
        <f>MIRR(J37:J47,LineOfCreditAfterTaxCost,CDWACC)</f>
        <v>0.3295608078248673</v>
      </c>
      <c r="K53" s="32">
        <f>MIRR(J37:J47,LineOfCreditAfterTaxCost,RequiredReturn)</f>
        <v>0.36603240970864004</v>
      </c>
      <c r="L53" s="67">
        <f>MIRR(L37:L47,LineOfCreditAfterTaxCost,CDWACC)</f>
        <v>0.32345305825079795</v>
      </c>
      <c r="M53" s="32">
        <f>MIRR(L37:L47,LineOfCreditAfterTaxCost,RequiredReturn)</f>
        <v>0.35975711652952458</v>
      </c>
      <c r="N53" s="67">
        <f>MIRR(N37:N47,LineOfCreditAfterTaxCost,CDWACC)</f>
        <v>0.29424811329180844</v>
      </c>
      <c r="O53" s="32">
        <f>MIRR(N37:N47,LineOfCreditAfterTaxCost,RequiredReturn)</f>
        <v>0.3297510415136673</v>
      </c>
      <c r="P53" s="67">
        <f>MIRR(P37:P47,LineOfCreditAfterTaxCost,CDWACC)</f>
        <v>9.9832857315954371E-2</v>
      </c>
      <c r="Q53" s="32">
        <f>MIRR(P37:P47,LineOfCreditAfterTaxCost,RequiredReturn)</f>
        <v>0.12233874901195874</v>
      </c>
      <c r="R53" s="67">
        <f>MIRR(R37:R47,LineOfCreditAfterTaxCost,CDWACC)</f>
        <v>9.9832857315954371E-2</v>
      </c>
      <c r="S53" s="32">
        <f>MIRR(R37:R47,LineOfCreditAfterTaxCost,RequiredReturn)</f>
        <v>0.12233874901195874</v>
      </c>
      <c r="T53" s="67">
        <f>MIRR(T37:T47,LineOfCreditAfterTaxCost,CDWACC)</f>
        <v>7.5562591089470832E-2</v>
      </c>
      <c r="U53" s="32">
        <f>MIRR(T37:T47,LineOfCreditAfterTaxCost,RequiredReturn)</f>
        <v>9.7571840064271775E-2</v>
      </c>
      <c r="V53" s="133" t="s">
        <v>84</v>
      </c>
      <c r="W53" s="125">
        <f>ROUNDUP(SUM(U58:U61)/W16,0)</f>
        <v>12660</v>
      </c>
    </row>
    <row r="54" spans="9:23" x14ac:dyDescent="0.2">
      <c r="I54" s="94"/>
      <c r="J54" s="94"/>
      <c r="K54" s="94"/>
      <c r="L54" s="94"/>
      <c r="M54" s="94"/>
      <c r="N54" s="94"/>
      <c r="O54" s="94"/>
      <c r="P54" s="94"/>
      <c r="Q54" s="94"/>
      <c r="R54" s="94"/>
      <c r="S54" s="94"/>
      <c r="T54" s="94"/>
      <c r="U54" s="94"/>
      <c r="V54" s="76" t="s">
        <v>85</v>
      </c>
      <c r="W54" s="126">
        <f>W53*W16</f>
        <v>12660000</v>
      </c>
    </row>
    <row r="55" spans="9:23" x14ac:dyDescent="0.2">
      <c r="I55" s="94"/>
      <c r="J55" s="94"/>
      <c r="K55" s="94"/>
      <c r="L55" s="94"/>
      <c r="M55" s="94"/>
      <c r="N55" s="94"/>
      <c r="O55" s="94"/>
      <c r="P55" s="94"/>
      <c r="Q55" s="94"/>
      <c r="R55" s="94"/>
      <c r="S55" s="94"/>
      <c r="T55" s="94"/>
      <c r="U55" s="94"/>
      <c r="V55" s="76" t="s">
        <v>33</v>
      </c>
      <c r="W55" s="126">
        <f>W54*BondRate</f>
        <v>759600</v>
      </c>
    </row>
    <row r="56" spans="9:23" ht="21" x14ac:dyDescent="0.25">
      <c r="I56" s="33"/>
      <c r="J56" s="123" t="s">
        <v>95</v>
      </c>
      <c r="K56" s="111"/>
      <c r="L56" s="112"/>
      <c r="M56" s="113"/>
      <c r="N56" s="114"/>
      <c r="O56" s="115" t="s">
        <v>92</v>
      </c>
      <c r="P56" s="113"/>
      <c r="Q56" s="114"/>
      <c r="R56" s="112"/>
      <c r="S56" s="116"/>
      <c r="T56" s="120" t="s">
        <v>93</v>
      </c>
      <c r="U56" s="121" t="s">
        <v>94</v>
      </c>
      <c r="V56" s="76" t="s">
        <v>86</v>
      </c>
      <c r="W56" s="125">
        <f>ROUNDUP(SUM(T58:T61)/W25,0)</f>
        <v>98781</v>
      </c>
    </row>
    <row r="57" spans="9:23" x14ac:dyDescent="0.2">
      <c r="I57" s="33"/>
      <c r="J57" s="123"/>
      <c r="K57" s="117" t="s">
        <v>78</v>
      </c>
      <c r="L57" s="35" t="s">
        <v>79</v>
      </c>
      <c r="M57" s="35" t="s">
        <v>90</v>
      </c>
      <c r="N57" s="35" t="s">
        <v>91</v>
      </c>
      <c r="O57" s="35" t="s">
        <v>88</v>
      </c>
      <c r="P57" s="35" t="s">
        <v>81</v>
      </c>
      <c r="Q57" s="35" t="s">
        <v>54</v>
      </c>
      <c r="R57" s="35" t="s">
        <v>82</v>
      </c>
      <c r="S57" s="107" t="s">
        <v>83</v>
      </c>
      <c r="T57" s="122"/>
      <c r="U57" s="122"/>
      <c r="V57" s="76" t="s">
        <v>87</v>
      </c>
      <c r="W57" s="126">
        <f>W56*W25</f>
        <v>9878100</v>
      </c>
    </row>
    <row r="58" spans="9:23" x14ac:dyDescent="0.2">
      <c r="I58" s="33"/>
      <c r="J58" s="123">
        <f>IF(S58=TRUE,O58,0)</f>
        <v>0</v>
      </c>
      <c r="K58" s="118" t="s">
        <v>2</v>
      </c>
      <c r="L58" s="38">
        <f>NPV(RequiredReturn,J15:J24)+ATotalInvestment</f>
        <v>-3802783.191193142</v>
      </c>
      <c r="M58" s="38">
        <f>(-InvestmentACost*StockRatio)/StockParRate</f>
        <v>3658536.5853658537</v>
      </c>
      <c r="N58" s="38">
        <f>(-InvestmentACost*BondRatio)/BondParRate</f>
        <v>7446808.5106382985</v>
      </c>
      <c r="O58" s="44" t="s">
        <v>80</v>
      </c>
      <c r="P58" s="37">
        <f>BondRate*(1-TaxRate)</f>
        <v>4.8000000000000001E-2</v>
      </c>
      <c r="Q58" s="38">
        <f>-ABondTotal*BondRate</f>
        <v>-446808.51063829788</v>
      </c>
      <c r="R58" s="64">
        <f>SUM(D9:D19)</f>
        <v>4000000</v>
      </c>
      <c r="S58" s="108" t="b">
        <v>0</v>
      </c>
      <c r="T58" s="122">
        <f>IF(S58=TRUE,M58,0)</f>
        <v>0</v>
      </c>
      <c r="U58" s="122">
        <f>IF(S58=TRUE,N58,0)</f>
        <v>0</v>
      </c>
      <c r="V58" s="76" t="s">
        <v>88</v>
      </c>
      <c r="W58" s="126">
        <f>SUM(J57:J61)</f>
        <v>4500000</v>
      </c>
    </row>
    <row r="59" spans="9:23" x14ac:dyDescent="0.2">
      <c r="I59" s="33"/>
      <c r="J59" s="123" t="str">
        <f t="shared" ref="J59:J61" si="13">IF(S59=TRUE,O59,0)</f>
        <v>N/A</v>
      </c>
      <c r="K59" s="118" t="s">
        <v>3</v>
      </c>
      <c r="L59" s="38">
        <f>NPV(RequiredReturn,P15:P24)+BTotalInvestment</f>
        <v>335329.63054391369</v>
      </c>
      <c r="M59" s="38">
        <f>(-InvestmentBCost*StockRatio)/StockParRate</f>
        <v>6219512.1951219514</v>
      </c>
      <c r="N59" s="38">
        <f>(-InvestmentBCost*BondRatio)/BondParRate</f>
        <v>12659574.468085106</v>
      </c>
      <c r="O59" s="44" t="s">
        <v>80</v>
      </c>
      <c r="P59" s="37">
        <f>BondRate*(1-TaxRate)</f>
        <v>4.8000000000000001E-2</v>
      </c>
      <c r="Q59" s="38">
        <f>-BBondTotal*BondRate</f>
        <v>-759574.46808510635</v>
      </c>
      <c r="R59" s="64">
        <f>SUM(E9:E19)</f>
        <v>23000000</v>
      </c>
      <c r="S59" s="108" t="b">
        <v>1</v>
      </c>
      <c r="T59" s="122">
        <f t="shared" ref="T59:T61" si="14">IF(S59=TRUE,M59,0)</f>
        <v>6219512.1951219514</v>
      </c>
      <c r="U59" s="122">
        <f t="shared" ref="U59:U61" si="15">IF(S59=TRUE,N59,0)</f>
        <v>12659574.468085106</v>
      </c>
      <c r="V59" s="76" t="s">
        <v>36</v>
      </c>
      <c r="W59" s="126">
        <f>W58*CreditInterest</f>
        <v>360000</v>
      </c>
    </row>
    <row r="60" spans="9:23" x14ac:dyDescent="0.2">
      <c r="I60" s="33"/>
      <c r="J60" s="123">
        <f t="shared" si="13"/>
        <v>4500000</v>
      </c>
      <c r="K60" s="118" t="s">
        <v>4</v>
      </c>
      <c r="L60" s="38">
        <f>NPV(RequiredReturn,J38:J42)+InvestmentCCost</f>
        <v>22964647.750867672</v>
      </c>
      <c r="M60" s="39">
        <v>0</v>
      </c>
      <c r="N60" s="44" t="s">
        <v>80</v>
      </c>
      <c r="O60" s="28">
        <f>-InvestmentCCost</f>
        <v>4500000</v>
      </c>
      <c r="P60" s="37">
        <f>CreditInterest*(1-TaxRate)</f>
        <v>6.4000000000000001E-2</v>
      </c>
      <c r="Q60" s="38">
        <f>InvestmentCCost*CreditInterest</f>
        <v>-360000</v>
      </c>
      <c r="R60" s="64">
        <f>SUM(F9:F19)</f>
        <v>35500000</v>
      </c>
      <c r="S60" s="108" t="b">
        <v>1</v>
      </c>
      <c r="T60" s="122">
        <f t="shared" si="14"/>
        <v>0</v>
      </c>
      <c r="U60" s="122" t="str">
        <f t="shared" si="15"/>
        <v>N/A</v>
      </c>
      <c r="V60" s="127" t="s">
        <v>89</v>
      </c>
      <c r="W60" s="128">
        <f>W59+W55</f>
        <v>1119600</v>
      </c>
    </row>
    <row r="61" spans="9:23" x14ac:dyDescent="0.2">
      <c r="I61" s="33"/>
      <c r="J61" s="123">
        <f t="shared" si="13"/>
        <v>0</v>
      </c>
      <c r="K61" s="119" t="s">
        <v>5</v>
      </c>
      <c r="L61" s="135">
        <f>NPV(RequiredReturn,P38:P47)+InvestmentDCost</f>
        <v>129669.38777614711</v>
      </c>
      <c r="M61" s="135">
        <f>IF(Q32=TRUE,0,-P34/StockParRate)</f>
        <v>3658536.5853658537</v>
      </c>
      <c r="N61" s="109" t="s">
        <v>80</v>
      </c>
      <c r="O61" s="11">
        <f>IF(Q32=TRUE,-InvestmentDCost,0)</f>
        <v>0</v>
      </c>
      <c r="P61" s="63">
        <f>IF(Q32=TRUE,CreditInterest*(1-TaxRate),0)</f>
        <v>0</v>
      </c>
      <c r="Q61" s="135">
        <f>IF(Q32=TRUE,InvestmentDCost*CreditInterest,0)</f>
        <v>0</v>
      </c>
      <c r="R61" s="151">
        <f>SUM(G9:G19)</f>
        <v>3000000</v>
      </c>
      <c r="S61" s="110" t="b">
        <v>1</v>
      </c>
      <c r="T61" s="122">
        <f t="shared" si="14"/>
        <v>3658536.5853658537</v>
      </c>
      <c r="U61" s="122" t="str">
        <f t="shared" si="15"/>
        <v>N/A</v>
      </c>
      <c r="V61" s="78" t="s">
        <v>96</v>
      </c>
      <c r="W61" s="129">
        <f>W58+W57+W54</f>
        <v>27038100</v>
      </c>
    </row>
    <row r="65" spans="16:18" x14ac:dyDescent="0.2">
      <c r="P65" s="15"/>
      <c r="Q65" s="15"/>
      <c r="R65" s="15"/>
    </row>
    <row r="1048576" spans="27:27" x14ac:dyDescent="0.2">
      <c r="AA1048576" s="20"/>
    </row>
  </sheetData>
  <mergeCells count="1">
    <mergeCell ref="I6:W6"/>
  </mergeCells>
  <conditionalFormatting sqref="W53">
    <cfRule type="expression" dxfId="4" priority="5">
      <formula>W53&gt;W18</formula>
    </cfRule>
  </conditionalFormatting>
  <conditionalFormatting sqref="W54">
    <cfRule type="expression" dxfId="3" priority="4">
      <formula>W54&gt;W15</formula>
    </cfRule>
  </conditionalFormatting>
  <conditionalFormatting sqref="W56">
    <cfRule type="expression" dxfId="2" priority="3">
      <formula>W56&gt;W27</formula>
    </cfRule>
  </conditionalFormatting>
  <conditionalFormatting sqref="W57">
    <cfRule type="expression" dxfId="1" priority="2">
      <formula>W57&gt;W24</formula>
    </cfRule>
  </conditionalFormatting>
  <conditionalFormatting sqref="W58">
    <cfRule type="expression" dxfId="0" priority="1">
      <formula>W58&gt;W31</formula>
    </cfRule>
  </conditionalFormatting>
  <pageMargins left="0.7" right="0.7" top="0.75" bottom="0.75" header="0.3" footer="0.3"/>
  <pageSetup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9B534CC7B64354DBEE84610796D3FAD" ma:contentTypeVersion="7" ma:contentTypeDescription="Create a new document." ma:contentTypeScope="" ma:versionID="b007558cc9c3d1c325ccc78ba46d080b">
  <xsd:schema xmlns:xsd="http://www.w3.org/2001/XMLSchema" xmlns:xs="http://www.w3.org/2001/XMLSchema" xmlns:p="http://schemas.microsoft.com/office/2006/metadata/properties" xmlns:ns2="48b6d220-a39f-46e2-9bae-f369e6313442" xmlns:ns3="26eb8855-3f72-4c58-924c-538eaea1e855" targetNamespace="http://schemas.microsoft.com/office/2006/metadata/properties" ma:root="true" ma:fieldsID="af951f1fda1f81d30d5a8fdc21dfe080" ns2:_="" ns3:_="">
    <xsd:import namespace="48b6d220-a39f-46e2-9bae-f369e6313442"/>
    <xsd:import namespace="26eb8855-3f72-4c58-924c-538eaea1e85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b6d220-a39f-46e2-9bae-f369e63134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eb8855-3f72-4c58-924c-538eaea1e85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99E57C-9C49-431E-8849-7782984E00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b6d220-a39f-46e2-9bae-f369e6313442"/>
    <ds:schemaRef ds:uri="26eb8855-3f72-4c58-924c-538eaea1e8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6CF576-2EF1-4542-AC1A-E0BEFC84B934}">
  <ds:schemaRefs>
    <ds:schemaRef ds:uri="http://schemas.microsoft.com/sharepoint/v3/contenttype/forms"/>
  </ds:schemaRefs>
</ds:datastoreItem>
</file>

<file path=customXml/itemProps3.xml><?xml version="1.0" encoding="utf-8"?>
<ds:datastoreItem xmlns:ds="http://schemas.openxmlformats.org/officeDocument/2006/customXml" ds:itemID="{6B3A1825-E726-4B56-9525-986EF532BB5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35</vt:i4>
      </vt:variant>
    </vt:vector>
  </HeadingPairs>
  <TitlesOfParts>
    <vt:vector size="37" baseType="lpstr">
      <vt:lpstr>Business Scenario</vt:lpstr>
      <vt:lpstr>Task 3 Template</vt:lpstr>
      <vt:lpstr>ABAfterTaxDebtCost</vt:lpstr>
      <vt:lpstr>ABDebtPct</vt:lpstr>
      <vt:lpstr>ABEquityPct</vt:lpstr>
      <vt:lpstr>ABondTotal</vt:lpstr>
      <vt:lpstr>ACashFlow</vt:lpstr>
      <vt:lpstr>AfterTaxDebtCost</vt:lpstr>
      <vt:lpstr>AStockTotal</vt:lpstr>
      <vt:lpstr>ATotalInvestment</vt:lpstr>
      <vt:lpstr>BBondTotal</vt:lpstr>
      <vt:lpstr>BCashFlow1</vt:lpstr>
      <vt:lpstr>BCashFlow2</vt:lpstr>
      <vt:lpstr>BondParRate</vt:lpstr>
      <vt:lpstr>BondRate</vt:lpstr>
      <vt:lpstr>BondRatio</vt:lpstr>
      <vt:lpstr>BondTotal</vt:lpstr>
      <vt:lpstr>BStockTotal</vt:lpstr>
      <vt:lpstr>BTotalInvestment</vt:lpstr>
      <vt:lpstr>CCashFlow</vt:lpstr>
      <vt:lpstr>CDWACC</vt:lpstr>
      <vt:lpstr>CreditInterest</vt:lpstr>
      <vt:lpstr>DCashFlow</vt:lpstr>
      <vt:lpstr>InvestmentACost</vt:lpstr>
      <vt:lpstr>InvestmentAInterest</vt:lpstr>
      <vt:lpstr>InvestmentBCost</vt:lpstr>
      <vt:lpstr>InvestmentBInterest</vt:lpstr>
      <vt:lpstr>InvestmentCCost</vt:lpstr>
      <vt:lpstr>InvestmentCInterest</vt:lpstr>
      <vt:lpstr>InvestmentDCost</vt:lpstr>
      <vt:lpstr>InvestmentDInterest</vt:lpstr>
      <vt:lpstr>LineOfCreditAfterTaxCost</vt:lpstr>
      <vt:lpstr>RequiredReturn</vt:lpstr>
      <vt:lpstr>StockParRate</vt:lpstr>
      <vt:lpstr>StockRatio</vt:lpstr>
      <vt:lpstr>TaxRate</vt:lpstr>
      <vt:lpstr>WACC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Michele Souder</dc:creator>
  <cp:keywords/>
  <dc:description/>
  <cp:lastModifiedBy>Jeff Nelson</cp:lastModifiedBy>
  <cp:revision/>
  <dcterms:created xsi:type="dcterms:W3CDTF">2023-08-01T21:54:31Z</dcterms:created>
  <dcterms:modified xsi:type="dcterms:W3CDTF">2024-10-09T10:05:55Z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0x010100F9B534CC7B64354DBEE84610796D3FAD</vt:lpwstr>
  </property>
</Properties>
</file>